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24226"/>
  <mc:AlternateContent xmlns:mc="http://schemas.openxmlformats.org/markup-compatibility/2006">
    <mc:Choice Requires="x15">
      <x15ac:absPath xmlns:x15ac="http://schemas.microsoft.com/office/spreadsheetml/2010/11/ac" url="C:\Users\pbasu\Documents\PBA Super\Actuarial\Development\"/>
    </mc:Choice>
  </mc:AlternateContent>
  <workbookProtection workbookPassword="C7BF" lockStructure="1"/>
  <bookViews>
    <workbookView xWindow="0" yWindow="0" windowWidth="28800" windowHeight="11985" tabRatio="858"/>
  </bookViews>
  <sheets>
    <sheet name="Fund &amp; Member Details" sheetId="5" r:id="rId1"/>
    <sheet name="Transactions" sheetId="10" r:id="rId2"/>
    <sheet name="Optional ABPs" sheetId="12" r:id="rId3"/>
    <sheet name="Optional AP MLP" sheetId="13" r:id="rId4"/>
    <sheet name="Percentage Calc" sheetId="7" state="hidden" r:id="rId5"/>
    <sheet name="Certificate" sheetId="8" state="hidden" r:id="rId6"/>
    <sheet name="Check" sheetId="9" state="hidden" r:id="rId7"/>
    <sheet name="DATA" sheetId="4" state="hidden" r:id="rId8"/>
  </sheets>
  <definedNames>
    <definedName name="_xlnm._FilterDatabase" localSheetId="3" hidden="1">'Optional AP MLP'!$A$5:$E$16</definedName>
    <definedName name="Valid">Check!$D$72:$D$75</definedName>
  </definedNames>
  <calcPr calcId="171027"/>
</workbook>
</file>

<file path=xl/calcChain.xml><?xml version="1.0" encoding="utf-8"?>
<calcChain xmlns="http://schemas.openxmlformats.org/spreadsheetml/2006/main">
  <c r="B10" i="12" l="1"/>
  <c r="B25" i="9" l="1"/>
  <c r="A64" i="9" l="1"/>
  <c r="A105" i="8"/>
  <c r="B50" i="9" l="1"/>
  <c r="B49" i="9"/>
  <c r="B28" i="5" l="1"/>
  <c r="B11" i="9" l="1"/>
  <c r="C11" i="9" s="1"/>
  <c r="B103" i="8" s="1"/>
  <c r="A35" i="8"/>
  <c r="D9" i="9"/>
  <c r="A65" i="9"/>
  <c r="A61" i="9"/>
  <c r="C10" i="12"/>
  <c r="B13" i="12"/>
  <c r="B18" i="9"/>
  <c r="C32" i="5"/>
  <c r="A10" i="10"/>
  <c r="C69" i="8"/>
  <c r="G59" i="5"/>
  <c r="G77" i="8" s="1"/>
  <c r="N24" i="4"/>
  <c r="N20" i="4"/>
  <c r="N21" i="4"/>
  <c r="M24" i="4"/>
  <c r="M20" i="4"/>
  <c r="M21" i="4"/>
  <c r="L24" i="4"/>
  <c r="L22" i="4" s="1"/>
  <c r="K24" i="4"/>
  <c r="K20" i="4"/>
  <c r="K21" i="4"/>
  <c r="P47" i="10"/>
  <c r="P14" i="10"/>
  <c r="O47" i="10"/>
  <c r="O14" i="10"/>
  <c r="N47" i="10"/>
  <c r="N14" i="10"/>
  <c r="M47" i="10"/>
  <c r="M14" i="10"/>
  <c r="L47" i="10"/>
  <c r="L14" i="10" s="1"/>
  <c r="G47" i="10"/>
  <c r="G14" i="10"/>
  <c r="F47" i="10"/>
  <c r="F14" i="10"/>
  <c r="E47" i="10"/>
  <c r="E14" i="10"/>
  <c r="D47" i="10"/>
  <c r="D14" i="10" s="1"/>
  <c r="G47" i="5"/>
  <c r="G78" i="8" s="1"/>
  <c r="AI17" i="7"/>
  <c r="AJ17" i="7"/>
  <c r="AE17" i="7"/>
  <c r="AF17" i="7"/>
  <c r="AB17" i="7"/>
  <c r="AA17" i="7"/>
  <c r="W17" i="7"/>
  <c r="X17" i="7"/>
  <c r="S17" i="7"/>
  <c r="T17" i="7"/>
  <c r="O17" i="7"/>
  <c r="P17" i="7"/>
  <c r="K17" i="7"/>
  <c r="L17" i="7"/>
  <c r="G17" i="7"/>
  <c r="H17" i="7"/>
  <c r="C17" i="7"/>
  <c r="D17" i="7"/>
  <c r="J17" i="10"/>
  <c r="B17" i="10"/>
  <c r="A101" i="8"/>
  <c r="B7" i="12"/>
  <c r="B18" i="7"/>
  <c r="C31" i="5"/>
  <c r="B48" i="5"/>
  <c r="C48" i="5"/>
  <c r="D48" i="5"/>
  <c r="B51" i="9"/>
  <c r="C33" i="5" s="1"/>
  <c r="D6" i="9"/>
  <c r="C68" i="8" s="1"/>
  <c r="K94" i="4"/>
  <c r="C18" i="7"/>
  <c r="D18" i="7" s="1"/>
  <c r="B21" i="9"/>
  <c r="B95" i="8" s="1"/>
  <c r="B108" i="8"/>
  <c r="C19" i="7"/>
  <c r="C13" i="9"/>
  <c r="B29" i="9"/>
  <c r="B42" i="9" s="1"/>
  <c r="A49" i="10" s="1"/>
  <c r="B28" i="9"/>
  <c r="B41" i="9" s="1"/>
  <c r="A50" i="10" s="1"/>
  <c r="B111" i="8"/>
  <c r="B110" i="8"/>
  <c r="B109" i="8"/>
  <c r="E48" i="5"/>
  <c r="B21" i="13"/>
  <c r="K93" i="4" s="1"/>
  <c r="E21" i="13"/>
  <c r="N93" i="4" s="1"/>
  <c r="D21" i="13"/>
  <c r="M93" i="4" s="1"/>
  <c r="C21" i="13"/>
  <c r="L93" i="4" s="1"/>
  <c r="E49" i="12"/>
  <c r="D49" i="12"/>
  <c r="C49" i="12"/>
  <c r="B49" i="12"/>
  <c r="E35" i="12"/>
  <c r="D35" i="12"/>
  <c r="C35" i="12"/>
  <c r="B35" i="12"/>
  <c r="E21" i="12"/>
  <c r="D21" i="12"/>
  <c r="C21" i="12"/>
  <c r="B21" i="12"/>
  <c r="E7" i="12"/>
  <c r="D7" i="12"/>
  <c r="C7" i="12"/>
  <c r="E6" i="13"/>
  <c r="D6" i="13"/>
  <c r="C6" i="13"/>
  <c r="B6" i="13"/>
  <c r="B7" i="13"/>
  <c r="K79" i="4" s="1"/>
  <c r="E7" i="13"/>
  <c r="N79" i="4" s="1"/>
  <c r="D7" i="13"/>
  <c r="M79" i="4" s="1"/>
  <c r="C7" i="13"/>
  <c r="L79" i="4" s="1"/>
  <c r="L82" i="4" s="1"/>
  <c r="B50" i="12"/>
  <c r="K51" i="4" s="1"/>
  <c r="E50" i="12"/>
  <c r="N51" i="4" s="1"/>
  <c r="N53" i="4" s="1"/>
  <c r="D50" i="12"/>
  <c r="M51" i="4" s="1"/>
  <c r="C50" i="12"/>
  <c r="L51" i="4" s="1"/>
  <c r="B36" i="12"/>
  <c r="K38" i="4" s="1"/>
  <c r="E36" i="12"/>
  <c r="N38" i="4" s="1"/>
  <c r="D36" i="12"/>
  <c r="M38" i="4" s="1"/>
  <c r="M40" i="4" s="1"/>
  <c r="C36" i="12"/>
  <c r="L38" i="4" s="1"/>
  <c r="L42" i="4" s="1"/>
  <c r="C43" i="12" s="1"/>
  <c r="B22" i="12"/>
  <c r="K25" i="4" s="1"/>
  <c r="E22" i="12"/>
  <c r="N25" i="4" s="1"/>
  <c r="D22" i="12"/>
  <c r="M25" i="4" s="1"/>
  <c r="C22" i="12"/>
  <c r="L25" i="4" s="1"/>
  <c r="B8" i="12"/>
  <c r="K12" i="4" s="1"/>
  <c r="K14" i="4" s="1"/>
  <c r="E8" i="12"/>
  <c r="N11" i="4" s="1"/>
  <c r="D8" i="12"/>
  <c r="M11" i="4" s="1"/>
  <c r="C8" i="12"/>
  <c r="L11" i="4" s="1"/>
  <c r="B20" i="13"/>
  <c r="E20" i="13"/>
  <c r="D20" i="13"/>
  <c r="C20" i="13"/>
  <c r="B57" i="5"/>
  <c r="L13" i="10" s="1"/>
  <c r="L52" i="10" s="1"/>
  <c r="E57" i="5"/>
  <c r="AD7" i="7" s="1"/>
  <c r="D57" i="5"/>
  <c r="C57" i="5"/>
  <c r="M13" i="10" s="1"/>
  <c r="M52" i="10" s="1"/>
  <c r="B45" i="5"/>
  <c r="B7" i="7" s="1"/>
  <c r="E45" i="5"/>
  <c r="G13" i="10"/>
  <c r="G52" i="10" s="1"/>
  <c r="D45" i="5"/>
  <c r="F13" i="10" s="1"/>
  <c r="F52" i="10" s="1"/>
  <c r="C45" i="5"/>
  <c r="J7" i="7" s="1"/>
  <c r="F63" i="5"/>
  <c r="E63" i="5"/>
  <c r="D63" i="5"/>
  <c r="C63" i="5"/>
  <c r="B63" i="5"/>
  <c r="F62" i="5"/>
  <c r="E62" i="5"/>
  <c r="D62" i="5"/>
  <c r="C62" i="5"/>
  <c r="B62" i="5"/>
  <c r="F61" i="5"/>
  <c r="E61" i="5"/>
  <c r="D61" i="5"/>
  <c r="C61" i="5"/>
  <c r="B61" i="5"/>
  <c r="F60" i="5"/>
  <c r="E60" i="5"/>
  <c r="D60" i="5"/>
  <c r="C60" i="5"/>
  <c r="B60" i="5"/>
  <c r="E51" i="5"/>
  <c r="D51" i="5"/>
  <c r="C51" i="5"/>
  <c r="E50" i="5"/>
  <c r="D50" i="5"/>
  <c r="C50" i="5"/>
  <c r="E49" i="5"/>
  <c r="D49" i="5"/>
  <c r="C49" i="5"/>
  <c r="B51" i="5"/>
  <c r="B50" i="5"/>
  <c r="B49" i="5"/>
  <c r="J58" i="10"/>
  <c r="J57" i="10"/>
  <c r="J56" i="10"/>
  <c r="J55" i="10"/>
  <c r="J54" i="10"/>
  <c r="J53" i="10"/>
  <c r="B58" i="10"/>
  <c r="B57" i="10"/>
  <c r="B56" i="10"/>
  <c r="B55" i="10"/>
  <c r="B54" i="10"/>
  <c r="B53"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6"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6" i="10"/>
  <c r="B53" i="9"/>
  <c r="A61" i="10" s="1"/>
  <c r="E83" i="5"/>
  <c r="B57" i="9"/>
  <c r="A17" i="12" s="1"/>
  <c r="B38" i="9"/>
  <c r="E85" i="5" s="1"/>
  <c r="H75" i="8"/>
  <c r="AH46" i="7"/>
  <c r="AH45" i="7"/>
  <c r="AH44" i="7"/>
  <c r="AJ44" i="7"/>
  <c r="AH43" i="7"/>
  <c r="AH42" i="7"/>
  <c r="AH41" i="7"/>
  <c r="AH40" i="7"/>
  <c r="AH39" i="7"/>
  <c r="AH38" i="7"/>
  <c r="AH37" i="7"/>
  <c r="AH36" i="7"/>
  <c r="AJ36" i="7"/>
  <c r="AH35" i="7"/>
  <c r="AH34" i="7"/>
  <c r="AH33" i="7"/>
  <c r="AH32" i="7"/>
  <c r="AJ32" i="7"/>
  <c r="AH31" i="7"/>
  <c r="AH30" i="7"/>
  <c r="AH29" i="7"/>
  <c r="AH28" i="7"/>
  <c r="AJ28" i="7"/>
  <c r="AH27" i="7"/>
  <c r="AH26" i="7"/>
  <c r="AJ26" i="7"/>
  <c r="AH25" i="7"/>
  <c r="AH24" i="7"/>
  <c r="AH23" i="7"/>
  <c r="AH22" i="7"/>
  <c r="AH21" i="7"/>
  <c r="AJ21" i="7"/>
  <c r="AH20" i="7"/>
  <c r="AJ20" i="7"/>
  <c r="AH19" i="7"/>
  <c r="AJ19" i="7"/>
  <c r="AH18" i="7"/>
  <c r="AD46" i="7"/>
  <c r="AD45" i="7"/>
  <c r="AD44" i="7"/>
  <c r="AD43" i="7"/>
  <c r="AD42" i="7"/>
  <c r="AD41" i="7"/>
  <c r="AD40" i="7"/>
  <c r="AF40" i="7"/>
  <c r="AD39" i="7"/>
  <c r="AD38" i="7"/>
  <c r="AD37" i="7"/>
  <c r="AD36" i="7"/>
  <c r="AF36" i="7"/>
  <c r="AD35" i="7"/>
  <c r="AD34" i="7"/>
  <c r="AD33" i="7"/>
  <c r="AD32" i="7"/>
  <c r="AD31" i="7"/>
  <c r="AD30" i="7"/>
  <c r="AD29" i="7"/>
  <c r="AD28" i="7"/>
  <c r="AD27" i="7"/>
  <c r="AD26" i="7"/>
  <c r="AD25" i="7"/>
  <c r="AF25" i="7"/>
  <c r="AD24" i="7"/>
  <c r="AD23" i="7"/>
  <c r="AF23" i="7"/>
  <c r="AD22" i="7"/>
  <c r="AF22" i="7"/>
  <c r="AD21" i="7"/>
  <c r="AF21" i="7"/>
  <c r="AD20" i="7"/>
  <c r="AF20" i="7"/>
  <c r="AD19" i="7"/>
  <c r="AD18" i="7"/>
  <c r="V46" i="7"/>
  <c r="V45" i="7"/>
  <c r="V44" i="7"/>
  <c r="V43" i="7"/>
  <c r="V42" i="7"/>
  <c r="X42" i="7"/>
  <c r="V41" i="7"/>
  <c r="V40" i="7"/>
  <c r="V39" i="7"/>
  <c r="V38" i="7"/>
  <c r="X38" i="7"/>
  <c r="V37" i="7"/>
  <c r="V36" i="7"/>
  <c r="V35" i="7"/>
  <c r="V34" i="7"/>
  <c r="V33" i="7"/>
  <c r="V32" i="7"/>
  <c r="V31" i="7"/>
  <c r="V30" i="7"/>
  <c r="V29" i="7"/>
  <c r="V28" i="7"/>
  <c r="X28" i="7"/>
  <c r="V27" i="7"/>
  <c r="V26" i="7"/>
  <c r="V25" i="7"/>
  <c r="X25" i="7"/>
  <c r="V24" i="7"/>
  <c r="V23" i="7"/>
  <c r="V22" i="7"/>
  <c r="V21" i="7"/>
  <c r="X21" i="7"/>
  <c r="V20" i="7"/>
  <c r="V19" i="7"/>
  <c r="V18" i="7"/>
  <c r="N46" i="7"/>
  <c r="N45" i="7"/>
  <c r="N44" i="7"/>
  <c r="N43" i="7"/>
  <c r="N42" i="7"/>
  <c r="P42" i="7"/>
  <c r="N41" i="7"/>
  <c r="N40" i="7"/>
  <c r="N39" i="7"/>
  <c r="N38" i="7"/>
  <c r="N37" i="7"/>
  <c r="N36" i="7"/>
  <c r="N35" i="7"/>
  <c r="N34" i="7"/>
  <c r="P34" i="7"/>
  <c r="N33" i="7"/>
  <c r="N32" i="7"/>
  <c r="N31" i="7"/>
  <c r="N30" i="7"/>
  <c r="N29" i="7"/>
  <c r="N28" i="7"/>
  <c r="N27" i="7"/>
  <c r="N26" i="7"/>
  <c r="N25" i="7"/>
  <c r="N24" i="7"/>
  <c r="N23" i="7"/>
  <c r="N22" i="7"/>
  <c r="N21" i="7"/>
  <c r="N20" i="7"/>
  <c r="N19" i="7"/>
  <c r="N18" i="7"/>
  <c r="F46" i="7"/>
  <c r="F45" i="7"/>
  <c r="F44" i="7"/>
  <c r="F43" i="7"/>
  <c r="F42" i="7"/>
  <c r="F41" i="7"/>
  <c r="F40" i="7"/>
  <c r="F39" i="7"/>
  <c r="H39" i="7"/>
  <c r="F38" i="7"/>
  <c r="F37" i="7"/>
  <c r="F36" i="7"/>
  <c r="F35" i="7"/>
  <c r="H35" i="7"/>
  <c r="F34" i="7"/>
  <c r="F33" i="7"/>
  <c r="F32" i="7"/>
  <c r="F31" i="7"/>
  <c r="F30" i="7"/>
  <c r="F29" i="7"/>
  <c r="F28" i="7"/>
  <c r="F27" i="7"/>
  <c r="F26" i="7"/>
  <c r="F25" i="7"/>
  <c r="F24" i="7"/>
  <c r="F23" i="7"/>
  <c r="H23" i="7"/>
  <c r="F22" i="7"/>
  <c r="F21" i="7"/>
  <c r="F20" i="7"/>
  <c r="F19" i="7"/>
  <c r="F18" i="7"/>
  <c r="N94" i="4"/>
  <c r="N98" i="4"/>
  <c r="E28" i="13" s="1"/>
  <c r="M94" i="4"/>
  <c r="L94" i="4"/>
  <c r="K80" i="4"/>
  <c r="N80" i="4"/>
  <c r="M80" i="4"/>
  <c r="L80" i="4"/>
  <c r="K39" i="4"/>
  <c r="N52" i="4"/>
  <c r="M52" i="4"/>
  <c r="L52" i="4"/>
  <c r="K52" i="4"/>
  <c r="N39" i="4"/>
  <c r="M39" i="4"/>
  <c r="L39" i="4"/>
  <c r="N26" i="4"/>
  <c r="M26" i="4"/>
  <c r="L26" i="4"/>
  <c r="K26" i="4"/>
  <c r="E10" i="12"/>
  <c r="N13" i="4" s="1"/>
  <c r="D10" i="12"/>
  <c r="D13" i="12" s="1"/>
  <c r="D27" i="5"/>
  <c r="D26" i="5"/>
  <c r="D25" i="5"/>
  <c r="D24" i="5"/>
  <c r="B39" i="5"/>
  <c r="N95" i="4"/>
  <c r="N96" i="4"/>
  <c r="N65" i="4"/>
  <c r="M65" i="4"/>
  <c r="L65" i="4"/>
  <c r="N64" i="4"/>
  <c r="M64" i="4"/>
  <c r="L64" i="4"/>
  <c r="N63" i="4"/>
  <c r="M63" i="4"/>
  <c r="L63" i="4"/>
  <c r="G18" i="7"/>
  <c r="H18" i="7"/>
  <c r="AI46" i="7"/>
  <c r="AJ46" i="7"/>
  <c r="AI45" i="7"/>
  <c r="AI44" i="7"/>
  <c r="AI43" i="7"/>
  <c r="AI42" i="7"/>
  <c r="AJ42" i="7"/>
  <c r="AI41" i="7"/>
  <c r="AI40" i="7"/>
  <c r="AI39" i="7"/>
  <c r="AJ39" i="7"/>
  <c r="AI38" i="7"/>
  <c r="AI37" i="7"/>
  <c r="AI36" i="7"/>
  <c r="AI35" i="7"/>
  <c r="AJ35" i="7"/>
  <c r="AI34" i="7"/>
  <c r="AI33" i="7"/>
  <c r="AI32" i="7"/>
  <c r="AI31" i="7"/>
  <c r="AJ31" i="7"/>
  <c r="AI30" i="7"/>
  <c r="AI29" i="7"/>
  <c r="AJ29" i="7"/>
  <c r="AI28" i="7"/>
  <c r="AI27" i="7"/>
  <c r="AI26" i="7"/>
  <c r="AI25" i="7"/>
  <c r="AI24" i="7"/>
  <c r="AJ24" i="7"/>
  <c r="AI23" i="7"/>
  <c r="AJ23" i="7"/>
  <c r="AI22" i="7"/>
  <c r="AJ22" i="7"/>
  <c r="AI21" i="7"/>
  <c r="AI20" i="7"/>
  <c r="AI19" i="7"/>
  <c r="AI18" i="7"/>
  <c r="AJ18" i="7"/>
  <c r="AE46" i="7"/>
  <c r="AE45" i="7"/>
  <c r="AF45" i="7"/>
  <c r="AE44" i="7"/>
  <c r="AE43" i="7"/>
  <c r="AE42" i="7"/>
  <c r="AF42" i="7"/>
  <c r="AE41" i="7"/>
  <c r="AE40" i="7"/>
  <c r="AE39" i="7"/>
  <c r="AF39" i="7"/>
  <c r="AE38" i="7"/>
  <c r="AE37" i="7"/>
  <c r="AE36" i="7"/>
  <c r="AE35" i="7"/>
  <c r="AF35" i="7"/>
  <c r="AE34" i="7"/>
  <c r="AE33" i="7"/>
  <c r="AF33" i="7"/>
  <c r="AE32" i="7"/>
  <c r="AF32" i="7"/>
  <c r="AE31" i="7"/>
  <c r="AF31" i="7"/>
  <c r="AE30" i="7"/>
  <c r="AF30" i="7"/>
  <c r="AE29" i="7"/>
  <c r="AF29" i="7"/>
  <c r="AE28" i="7"/>
  <c r="AE27" i="7"/>
  <c r="AF27" i="7"/>
  <c r="AE26" i="7"/>
  <c r="AF26" i="7"/>
  <c r="AE25" i="7"/>
  <c r="AE24" i="7"/>
  <c r="AF24" i="7"/>
  <c r="AE23" i="7"/>
  <c r="AE22" i="7"/>
  <c r="AE21" i="7"/>
  <c r="AE20" i="7"/>
  <c r="AE19" i="7"/>
  <c r="AE18"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W46" i="7"/>
  <c r="W45" i="7"/>
  <c r="X45" i="7"/>
  <c r="W44" i="7"/>
  <c r="W43" i="7"/>
  <c r="X43" i="7"/>
  <c r="W42" i="7"/>
  <c r="W41" i="7"/>
  <c r="X41" i="7"/>
  <c r="W40" i="7"/>
  <c r="W39" i="7"/>
  <c r="W38" i="7"/>
  <c r="W37" i="7"/>
  <c r="X37" i="7"/>
  <c r="W36" i="7"/>
  <c r="X36" i="7"/>
  <c r="W35" i="7"/>
  <c r="W34" i="7"/>
  <c r="W33" i="7"/>
  <c r="X33" i="7"/>
  <c r="W32" i="7"/>
  <c r="X32" i="7"/>
  <c r="W31" i="7"/>
  <c r="X31" i="7"/>
  <c r="W30" i="7"/>
  <c r="W29" i="7"/>
  <c r="X29" i="7"/>
  <c r="W28" i="7"/>
  <c r="W27" i="7"/>
  <c r="X27" i="7"/>
  <c r="W26" i="7"/>
  <c r="W25" i="7"/>
  <c r="W24" i="7"/>
  <c r="W23" i="7"/>
  <c r="X23" i="7"/>
  <c r="W22" i="7"/>
  <c r="X22" i="7"/>
  <c r="W21" i="7"/>
  <c r="W20" i="7"/>
  <c r="X20" i="7"/>
  <c r="W19" i="7"/>
  <c r="W18" i="7"/>
  <c r="S46" i="7"/>
  <c r="S45" i="7"/>
  <c r="S44" i="7"/>
  <c r="S43" i="7"/>
  <c r="S42" i="7"/>
  <c r="S41" i="7"/>
  <c r="S40" i="7"/>
  <c r="S39" i="7"/>
  <c r="S38" i="7"/>
  <c r="S37" i="7"/>
  <c r="S36" i="7"/>
  <c r="S35" i="7"/>
  <c r="S34" i="7"/>
  <c r="S33" i="7"/>
  <c r="S32" i="7"/>
  <c r="S31" i="7"/>
  <c r="S30" i="7"/>
  <c r="S29" i="7"/>
  <c r="T29" i="7"/>
  <c r="S28" i="7"/>
  <c r="S27" i="7"/>
  <c r="S26" i="7"/>
  <c r="S25" i="7"/>
  <c r="S24" i="7"/>
  <c r="S23" i="7"/>
  <c r="S22" i="7"/>
  <c r="S21" i="7"/>
  <c r="T21" i="7"/>
  <c r="S20" i="7"/>
  <c r="S19" i="7"/>
  <c r="S18" i="7"/>
  <c r="O46" i="7"/>
  <c r="O45" i="7"/>
  <c r="P45" i="7"/>
  <c r="O44" i="7"/>
  <c r="O43" i="7"/>
  <c r="O42" i="7"/>
  <c r="O41" i="7"/>
  <c r="P41" i="7"/>
  <c r="O40" i="7"/>
  <c r="O39" i="7"/>
  <c r="P39" i="7"/>
  <c r="O38" i="7"/>
  <c r="O37" i="7"/>
  <c r="O36" i="7"/>
  <c r="O35" i="7"/>
  <c r="P35" i="7"/>
  <c r="O34" i="7"/>
  <c r="O33" i="7"/>
  <c r="O32" i="7"/>
  <c r="P32" i="7"/>
  <c r="O31" i="7"/>
  <c r="P31" i="7"/>
  <c r="O30" i="7"/>
  <c r="P30" i="7"/>
  <c r="O29" i="7"/>
  <c r="O28" i="7"/>
  <c r="O27" i="7"/>
  <c r="O26" i="7"/>
  <c r="O25" i="7"/>
  <c r="P25" i="7"/>
  <c r="O24" i="7"/>
  <c r="O23" i="7"/>
  <c r="P23" i="7"/>
  <c r="O22" i="7"/>
  <c r="O21" i="7"/>
  <c r="P21" i="7"/>
  <c r="O20" i="7"/>
  <c r="O19" i="7"/>
  <c r="O18" i="7"/>
  <c r="K46" i="7"/>
  <c r="K45" i="7"/>
  <c r="L45" i="7"/>
  <c r="K44" i="7"/>
  <c r="K43" i="7"/>
  <c r="K42" i="7"/>
  <c r="K41" i="7"/>
  <c r="K40" i="7"/>
  <c r="K39" i="7"/>
  <c r="K38" i="7"/>
  <c r="K37" i="7"/>
  <c r="L37" i="7"/>
  <c r="K36" i="7"/>
  <c r="K35" i="7"/>
  <c r="K34" i="7"/>
  <c r="K33" i="7"/>
  <c r="K32" i="7"/>
  <c r="K31" i="7"/>
  <c r="K30" i="7"/>
  <c r="K29" i="7"/>
  <c r="L29" i="7"/>
  <c r="K28" i="7"/>
  <c r="K27" i="7"/>
  <c r="K26" i="7"/>
  <c r="K25" i="7"/>
  <c r="K24" i="7"/>
  <c r="K23" i="7"/>
  <c r="K22" i="7"/>
  <c r="K21" i="7"/>
  <c r="L21" i="7"/>
  <c r="K20" i="7"/>
  <c r="K19" i="7"/>
  <c r="K18" i="7"/>
  <c r="G46" i="7"/>
  <c r="H46" i="7"/>
  <c r="G45" i="7"/>
  <c r="G44" i="7"/>
  <c r="H44" i="7"/>
  <c r="G43" i="7"/>
  <c r="G42" i="7"/>
  <c r="G41" i="7"/>
  <c r="G40" i="7"/>
  <c r="H40" i="7"/>
  <c r="G39" i="7"/>
  <c r="G38" i="7"/>
  <c r="H38" i="7"/>
  <c r="G37" i="7"/>
  <c r="H37" i="7"/>
  <c r="G36" i="7"/>
  <c r="H36" i="7"/>
  <c r="G35" i="7"/>
  <c r="G34" i="7"/>
  <c r="G33" i="7"/>
  <c r="H33" i="7"/>
  <c r="G32" i="7"/>
  <c r="G31" i="7"/>
  <c r="G30" i="7"/>
  <c r="G29" i="7"/>
  <c r="G28" i="7"/>
  <c r="H28" i="7"/>
  <c r="G27" i="7"/>
  <c r="G26" i="7"/>
  <c r="G25" i="7"/>
  <c r="H25" i="7"/>
  <c r="G24" i="7"/>
  <c r="H24" i="7"/>
  <c r="G23" i="7"/>
  <c r="G22" i="7"/>
  <c r="G21" i="7"/>
  <c r="G20" i="7"/>
  <c r="G19" i="7"/>
  <c r="C46" i="7"/>
  <c r="D46" i="7"/>
  <c r="C45" i="7"/>
  <c r="C44" i="7"/>
  <c r="C43" i="7"/>
  <c r="C42" i="7"/>
  <c r="C41" i="7"/>
  <c r="C40" i="7"/>
  <c r="C39" i="7"/>
  <c r="C38" i="7"/>
  <c r="D38" i="7"/>
  <c r="C37" i="7"/>
  <c r="C36" i="7"/>
  <c r="C35" i="7"/>
  <c r="C34" i="7"/>
  <c r="C33" i="7"/>
  <c r="C32" i="7"/>
  <c r="C31" i="7"/>
  <c r="C30" i="7"/>
  <c r="C29" i="7"/>
  <c r="C28" i="7"/>
  <c r="C27" i="7"/>
  <c r="C26" i="7"/>
  <c r="C25" i="7"/>
  <c r="C24" i="7"/>
  <c r="C23" i="7"/>
  <c r="C22" i="7"/>
  <c r="D22" i="7"/>
  <c r="C21" i="7"/>
  <c r="C20" i="7"/>
  <c r="AI14" i="7"/>
  <c r="AJ14" i="7" s="1"/>
  <c r="A66" i="8"/>
  <c r="D22" i="5"/>
  <c r="D4" i="9"/>
  <c r="D5" i="9" s="1"/>
  <c r="C71" i="8" s="1"/>
  <c r="N10" i="4"/>
  <c r="N6" i="4"/>
  <c r="N7" i="4" s="1"/>
  <c r="M10" i="4"/>
  <c r="L10" i="4"/>
  <c r="L8" i="4" s="1"/>
  <c r="K10" i="4"/>
  <c r="K6" i="4" s="1"/>
  <c r="K7" i="4" s="1"/>
  <c r="N9" i="4"/>
  <c r="M9" i="4"/>
  <c r="M8" i="4" s="1"/>
  <c r="L9" i="4"/>
  <c r="K9" i="4"/>
  <c r="B32" i="9"/>
  <c r="B31" i="9"/>
  <c r="P52" i="10"/>
  <c r="M95" i="4"/>
  <c r="M96" i="4"/>
  <c r="L95" i="4"/>
  <c r="L96" i="4"/>
  <c r="N92" i="4"/>
  <c r="N88" i="4" s="1"/>
  <c r="N89" i="4" s="1"/>
  <c r="N97" i="4" s="1"/>
  <c r="M92" i="4"/>
  <c r="M88" i="4" s="1"/>
  <c r="M89" i="4" s="1"/>
  <c r="M97" i="4" s="1"/>
  <c r="L92" i="4"/>
  <c r="L88" i="4" s="1"/>
  <c r="L89" i="4" s="1"/>
  <c r="L97" i="4" s="1"/>
  <c r="N91" i="4"/>
  <c r="N90" i="4" s="1"/>
  <c r="M91" i="4"/>
  <c r="L91" i="4"/>
  <c r="N78" i="4"/>
  <c r="N76" i="4" s="1"/>
  <c r="M78" i="4"/>
  <c r="M74" i="4" s="1"/>
  <c r="M75" i="4" s="1"/>
  <c r="M83" i="4" s="1"/>
  <c r="M76" i="4"/>
  <c r="L78" i="4"/>
  <c r="L76" i="4" s="1"/>
  <c r="L74" i="4"/>
  <c r="L75" i="4" s="1"/>
  <c r="L83" i="4" s="1"/>
  <c r="N77" i="4"/>
  <c r="M77" i="4"/>
  <c r="L77" i="4"/>
  <c r="N50" i="4"/>
  <c r="N48" i="4" s="1"/>
  <c r="M50" i="4"/>
  <c r="M46" i="4" s="1"/>
  <c r="M47" i="4" s="1"/>
  <c r="L50" i="4"/>
  <c r="L46" i="4" s="1"/>
  <c r="L47" i="4" s="1"/>
  <c r="N49" i="4"/>
  <c r="M49" i="4"/>
  <c r="M48" i="4" s="1"/>
  <c r="L49" i="4"/>
  <c r="N37" i="4"/>
  <c r="N33" i="4"/>
  <c r="N34" i="4" s="1"/>
  <c r="M37" i="4"/>
  <c r="M33" i="4"/>
  <c r="M34" i="4"/>
  <c r="L37" i="4"/>
  <c r="L35" i="4" s="1"/>
  <c r="N36" i="4"/>
  <c r="M36" i="4"/>
  <c r="M35" i="4" s="1"/>
  <c r="L36" i="4"/>
  <c r="L20" i="4"/>
  <c r="L21" i="4" s="1"/>
  <c r="N23" i="4"/>
  <c r="M23" i="4"/>
  <c r="M22" i="4"/>
  <c r="L23" i="4"/>
  <c r="B3" i="7"/>
  <c r="AI16" i="7"/>
  <c r="AJ16" i="7"/>
  <c r="AE16" i="7"/>
  <c r="AF16" i="7"/>
  <c r="W16" i="7"/>
  <c r="X16" i="7"/>
  <c r="O16" i="7"/>
  <c r="P16" i="7"/>
  <c r="AA16" i="7"/>
  <c r="AB16" i="7"/>
  <c r="S16" i="7"/>
  <c r="Z46" i="7"/>
  <c r="Z45" i="7"/>
  <c r="AB45" i="7"/>
  <c r="Z44" i="7"/>
  <c r="Z43" i="7"/>
  <c r="AB43" i="7"/>
  <c r="Z42" i="7"/>
  <c r="Z41" i="7"/>
  <c r="AB41" i="7"/>
  <c r="Z40" i="7"/>
  <c r="Z39" i="7"/>
  <c r="AB39" i="7"/>
  <c r="Z38" i="7"/>
  <c r="Z37" i="7"/>
  <c r="AB37" i="7"/>
  <c r="Z36" i="7"/>
  <c r="Z35" i="7"/>
  <c r="AB35" i="7"/>
  <c r="Z34" i="7"/>
  <c r="Z33" i="7"/>
  <c r="AB33" i="7"/>
  <c r="Z32" i="7"/>
  <c r="AB32" i="7"/>
  <c r="Z31" i="7"/>
  <c r="Z30" i="7"/>
  <c r="Z29" i="7"/>
  <c r="AB29" i="7"/>
  <c r="Z28" i="7"/>
  <c r="Z27" i="7"/>
  <c r="AB27" i="7"/>
  <c r="Z26" i="7"/>
  <c r="AB26" i="7"/>
  <c r="Z25" i="7"/>
  <c r="AB25" i="7"/>
  <c r="Z24" i="7"/>
  <c r="AB24" i="7"/>
  <c r="Z23" i="7"/>
  <c r="Z22" i="7"/>
  <c r="AB22" i="7"/>
  <c r="Z21" i="7"/>
  <c r="AB21" i="7"/>
  <c r="Z20" i="7"/>
  <c r="AB20" i="7"/>
  <c r="Z19" i="7"/>
  <c r="AB19" i="7"/>
  <c r="Z18" i="7"/>
  <c r="AB18" i="7" s="1"/>
  <c r="R46" i="7"/>
  <c r="T46" i="7"/>
  <c r="R45" i="7"/>
  <c r="R44" i="7"/>
  <c r="R43" i="7"/>
  <c r="T43" i="7"/>
  <c r="R42" i="7"/>
  <c r="T42" i="7"/>
  <c r="R41" i="7"/>
  <c r="T41" i="7"/>
  <c r="R40" i="7"/>
  <c r="R39" i="7"/>
  <c r="T39" i="7"/>
  <c r="R38" i="7"/>
  <c r="T38" i="7"/>
  <c r="R37" i="7"/>
  <c r="T37" i="7"/>
  <c r="R36" i="7"/>
  <c r="R35" i="7"/>
  <c r="T35" i="7"/>
  <c r="R34" i="7"/>
  <c r="T34" i="7"/>
  <c r="R33" i="7"/>
  <c r="T33" i="7"/>
  <c r="R32" i="7"/>
  <c r="R31" i="7"/>
  <c r="T31" i="7"/>
  <c r="R30" i="7"/>
  <c r="T30" i="7"/>
  <c r="R29" i="7"/>
  <c r="R28" i="7"/>
  <c r="R27" i="7"/>
  <c r="T27" i="7"/>
  <c r="R26" i="7"/>
  <c r="T26" i="7"/>
  <c r="R25" i="7"/>
  <c r="R24" i="7"/>
  <c r="R23" i="7"/>
  <c r="R22" i="7"/>
  <c r="T22" i="7"/>
  <c r="R21" i="7"/>
  <c r="R20" i="7"/>
  <c r="T20" i="7"/>
  <c r="R19" i="7"/>
  <c r="R18" i="7"/>
  <c r="T18" i="7" s="1"/>
  <c r="J46" i="7"/>
  <c r="L46" i="7"/>
  <c r="J45" i="7"/>
  <c r="J44" i="7"/>
  <c r="J43" i="7"/>
  <c r="L43" i="7"/>
  <c r="J42" i="7"/>
  <c r="J41" i="7"/>
  <c r="L41" i="7"/>
  <c r="J40" i="7"/>
  <c r="J39" i="7"/>
  <c r="L39" i="7"/>
  <c r="J38" i="7"/>
  <c r="J37" i="7"/>
  <c r="J36" i="7"/>
  <c r="L36" i="7"/>
  <c r="J35" i="7"/>
  <c r="L35" i="7"/>
  <c r="J34" i="7"/>
  <c r="J33" i="7"/>
  <c r="J32" i="7"/>
  <c r="J31" i="7"/>
  <c r="L31" i="7"/>
  <c r="J30" i="7"/>
  <c r="J29" i="7"/>
  <c r="J28" i="7"/>
  <c r="J27" i="7"/>
  <c r="L27" i="7"/>
  <c r="J26" i="7"/>
  <c r="J25" i="7"/>
  <c r="J24" i="7"/>
  <c r="J23" i="7"/>
  <c r="L23" i="7"/>
  <c r="J22" i="7"/>
  <c r="L22" i="7"/>
  <c r="J21" i="7"/>
  <c r="J20" i="7"/>
  <c r="J19" i="7"/>
  <c r="L19" i="7"/>
  <c r="J18" i="7"/>
  <c r="L18" i="7" s="1"/>
  <c r="B46" i="7"/>
  <c r="B45" i="7"/>
  <c r="D45" i="7"/>
  <c r="B44" i="7"/>
  <c r="B43" i="7"/>
  <c r="B42" i="7"/>
  <c r="D42" i="7"/>
  <c r="B41" i="7"/>
  <c r="D41" i="7"/>
  <c r="B40" i="7"/>
  <c r="D40" i="7"/>
  <c r="B39" i="7"/>
  <c r="D39" i="7"/>
  <c r="B38" i="7"/>
  <c r="B37" i="7"/>
  <c r="D37" i="7"/>
  <c r="B36" i="7"/>
  <c r="D36" i="7"/>
  <c r="B35" i="7"/>
  <c r="D35" i="7"/>
  <c r="B34" i="7"/>
  <c r="D34" i="7"/>
  <c r="B33" i="7"/>
  <c r="D33" i="7"/>
  <c r="B32" i="7"/>
  <c r="B31" i="7"/>
  <c r="D31" i="7"/>
  <c r="B30" i="7"/>
  <c r="D30" i="7"/>
  <c r="B29" i="7"/>
  <c r="D29" i="7"/>
  <c r="B28" i="7"/>
  <c r="B27" i="7"/>
  <c r="B26" i="7"/>
  <c r="D26" i="7"/>
  <c r="B25" i="7"/>
  <c r="D25" i="7"/>
  <c r="B24" i="7"/>
  <c r="D24" i="7"/>
  <c r="B23" i="7"/>
  <c r="D23" i="7"/>
  <c r="B22" i="7"/>
  <c r="B21" i="7"/>
  <c r="D21" i="7"/>
  <c r="B20" i="7"/>
  <c r="D20" i="7"/>
  <c r="B19" i="7"/>
  <c r="K16" i="7"/>
  <c r="L16" i="7"/>
  <c r="AH9" i="7"/>
  <c r="AE14" i="7"/>
  <c r="AE47" i="7" s="1"/>
  <c r="AA14" i="7"/>
  <c r="AA47" i="7" s="1"/>
  <c r="W14" i="7"/>
  <c r="X14" i="7" s="1"/>
  <c r="S14" i="7"/>
  <c r="T14" i="7" s="1"/>
  <c r="K14" i="7"/>
  <c r="L14" i="7" s="1"/>
  <c r="AD9" i="7"/>
  <c r="Z9" i="7"/>
  <c r="V9" i="7"/>
  <c r="G16" i="7"/>
  <c r="G47" i="7"/>
  <c r="H16" i="7"/>
  <c r="C16" i="7"/>
  <c r="D16" i="7"/>
  <c r="O14" i="7"/>
  <c r="P14" i="7" s="1"/>
  <c r="G14" i="7"/>
  <c r="C14" i="7"/>
  <c r="C47" i="7" s="1"/>
  <c r="K92" i="4"/>
  <c r="K91" i="4"/>
  <c r="K78" i="4"/>
  <c r="K76" i="4" s="1"/>
  <c r="K77" i="4"/>
  <c r="K50" i="4"/>
  <c r="K48" i="4" s="1"/>
  <c r="K49" i="4"/>
  <c r="K37" i="4"/>
  <c r="K35" i="4" s="1"/>
  <c r="K33" i="4"/>
  <c r="K34" i="4" s="1"/>
  <c r="K36" i="4"/>
  <c r="K23" i="4"/>
  <c r="K22" i="4"/>
  <c r="K95" i="4"/>
  <c r="K96" i="4"/>
  <c r="E7" i="9"/>
  <c r="A53" i="8"/>
  <c r="A121" i="8" s="1"/>
  <c r="D3" i="9"/>
  <c r="A71" i="8" s="1"/>
  <c r="A6" i="8"/>
  <c r="B44" i="8"/>
  <c r="B43" i="8"/>
  <c r="R9" i="7"/>
  <c r="N9" i="7"/>
  <c r="J9" i="7"/>
  <c r="F9" i="7"/>
  <c r="B9" i="7"/>
  <c r="Z7" i="7"/>
  <c r="K64" i="4"/>
  <c r="K65" i="4"/>
  <c r="K63" i="4"/>
  <c r="N84" i="4"/>
  <c r="E14" i="13" s="1"/>
  <c r="M98" i="4"/>
  <c r="M104" i="4" s="1"/>
  <c r="R7" i="7"/>
  <c r="M84" i="4"/>
  <c r="M103" i="4" s="1"/>
  <c r="N7" i="7"/>
  <c r="E13" i="10"/>
  <c r="E52" i="10" s="1"/>
  <c r="N13" i="10"/>
  <c r="N52" i="10" s="1"/>
  <c r="V7" i="7"/>
  <c r="H34" i="7"/>
  <c r="P37" i="7"/>
  <c r="AF28" i="7"/>
  <c r="AJ30" i="7"/>
  <c r="T25" i="7"/>
  <c r="AB30" i="7"/>
  <c r="AB31" i="7"/>
  <c r="L20" i="7"/>
  <c r="P33" i="7"/>
  <c r="L34" i="7"/>
  <c r="T45" i="7"/>
  <c r="AF43" i="7"/>
  <c r="X34" i="7"/>
  <c r="X44" i="7"/>
  <c r="H32" i="7"/>
  <c r="X26" i="7"/>
  <c r="AF44" i="7"/>
  <c r="X46" i="7"/>
  <c r="AJ27" i="7"/>
  <c r="L26" i="7"/>
  <c r="P43" i="7"/>
  <c r="AJ40" i="7"/>
  <c r="P38" i="7"/>
  <c r="L28" i="7"/>
  <c r="L32" i="7"/>
  <c r="L40" i="7"/>
  <c r="L44" i="7"/>
  <c r="AB28" i="7"/>
  <c r="AB36" i="7"/>
  <c r="AB40" i="7"/>
  <c r="AB44" i="7"/>
  <c r="H21" i="7"/>
  <c r="H45" i="7"/>
  <c r="P36" i="7"/>
  <c r="P40" i="7"/>
  <c r="X35" i="7"/>
  <c r="X39" i="7"/>
  <c r="AF38" i="7"/>
  <c r="AF46" i="7"/>
  <c r="AJ25" i="7"/>
  <c r="AJ45" i="7"/>
  <c r="T28" i="7"/>
  <c r="AB34" i="7"/>
  <c r="D44" i="7"/>
  <c r="H41" i="7"/>
  <c r="T24" i="7"/>
  <c r="T32" i="7"/>
  <c r="T36" i="7"/>
  <c r="T40" i="7"/>
  <c r="T44" i="7"/>
  <c r="AB38" i="7"/>
  <c r="AB42" i="7"/>
  <c r="AB46" i="7"/>
  <c r="AJ33" i="7"/>
  <c r="AJ37" i="7"/>
  <c r="AJ41" i="7"/>
  <c r="D28" i="7"/>
  <c r="D32" i="7"/>
  <c r="L30" i="7"/>
  <c r="L38" i="7"/>
  <c r="L42" i="7"/>
  <c r="AF34" i="7"/>
  <c r="AF41" i="7"/>
  <c r="D27" i="7"/>
  <c r="T16" i="7"/>
  <c r="P46" i="7"/>
  <c r="X40" i="7"/>
  <c r="AJ38" i="7"/>
  <c r="D43" i="7"/>
  <c r="H42" i="7"/>
  <c r="X30" i="7"/>
  <c r="AJ43" i="7"/>
  <c r="L98" i="4"/>
  <c r="L104" i="4" s="1"/>
  <c r="L84" i="4"/>
  <c r="L103" i="4" s="1"/>
  <c r="P19" i="7"/>
  <c r="P24" i="7"/>
  <c r="AF19" i="7"/>
  <c r="P44" i="7"/>
  <c r="AJ34" i="7"/>
  <c r="X24" i="7"/>
  <c r="AF37" i="7"/>
  <c r="N22" i="4"/>
  <c r="T19" i="7"/>
  <c r="T23" i="7"/>
  <c r="AB23" i="7"/>
  <c r="L24" i="7"/>
  <c r="H26" i="7"/>
  <c r="H27" i="7"/>
  <c r="P29" i="7"/>
  <c r="H22" i="7"/>
  <c r="X19" i="7"/>
  <c r="P18" i="7"/>
  <c r="P22" i="7"/>
  <c r="P26" i="7"/>
  <c r="H30" i="7"/>
  <c r="P28" i="7"/>
  <c r="H29" i="7"/>
  <c r="P27" i="7"/>
  <c r="H31" i="7"/>
  <c r="AF18" i="7"/>
  <c r="P20" i="7"/>
  <c r="X18" i="7"/>
  <c r="H20" i="7"/>
  <c r="H19" i="7"/>
  <c r="K46" i="4"/>
  <c r="K47" i="4" s="1"/>
  <c r="N35" i="4"/>
  <c r="D13" i="10"/>
  <c r="D52" i="10" s="1"/>
  <c r="K84" i="4"/>
  <c r="B14" i="13" s="1"/>
  <c r="K98" i="4"/>
  <c r="K104" i="4" s="1"/>
  <c r="H14" i="7"/>
  <c r="F7" i="7"/>
  <c r="L33" i="4"/>
  <c r="L34" i="4" s="1"/>
  <c r="M6" i="4"/>
  <c r="M7" i="4" s="1"/>
  <c r="L48" i="4"/>
  <c r="K11" i="4"/>
  <c r="L13" i="4"/>
  <c r="K8" i="4"/>
  <c r="D5" i="7" s="1"/>
  <c r="K13" i="4"/>
  <c r="D19" i="7"/>
  <c r="W47" i="7"/>
  <c r="L25" i="7"/>
  <c r="H43" i="7"/>
  <c r="L33" i="7"/>
  <c r="N8" i="4"/>
  <c r="O13" i="10"/>
  <c r="O52" i="10" s="1"/>
  <c r="B23" i="9" l="1"/>
  <c r="B98" i="8" s="1"/>
  <c r="L12" i="4"/>
  <c r="AB14" i="7"/>
  <c r="AB48" i="7" s="1"/>
  <c r="AB49" i="7" s="1"/>
  <c r="E13" i="12"/>
  <c r="AI47" i="7"/>
  <c r="C13" i="12"/>
  <c r="M12" i="4"/>
  <c r="M14" i="4" s="1"/>
  <c r="E64" i="5"/>
  <c r="D64" i="5"/>
  <c r="AF14" i="7"/>
  <c r="AF48" i="7" s="1"/>
  <c r="AF49" i="7" s="1"/>
  <c r="G60" i="5"/>
  <c r="H81" i="8" s="1"/>
  <c r="N12" i="4"/>
  <c r="N14" i="4" s="1"/>
  <c r="S47" i="7"/>
  <c r="M13" i="4"/>
  <c r="M15" i="4" s="1"/>
  <c r="D14" i="12" s="1"/>
  <c r="B30" i="9"/>
  <c r="L16" i="4"/>
  <c r="C15" i="12" s="1"/>
  <c r="G72" i="5"/>
  <c r="B26" i="9" s="1"/>
  <c r="H72" i="5" s="1"/>
  <c r="G49" i="5"/>
  <c r="B52" i="9" s="1"/>
  <c r="A59" i="10" s="1"/>
  <c r="L8" i="9"/>
  <c r="D8" i="9" s="1"/>
  <c r="G51" i="5"/>
  <c r="K16" i="4"/>
  <c r="B15" i="12" s="1"/>
  <c r="G50" i="5"/>
  <c r="G62" i="5"/>
  <c r="B47" i="9" s="1"/>
  <c r="A66" i="5" s="1"/>
  <c r="G63" i="5"/>
  <c r="F64" i="5"/>
  <c r="D52" i="5"/>
  <c r="G61" i="5"/>
  <c r="E52" i="5"/>
  <c r="C52" i="5"/>
  <c r="D14" i="13"/>
  <c r="O47" i="7"/>
  <c r="K47" i="7"/>
  <c r="N103" i="4"/>
  <c r="G52" i="7"/>
  <c r="K52" i="7"/>
  <c r="A11" i="8"/>
  <c r="M27" i="4"/>
  <c r="M28" i="4" s="1"/>
  <c r="M58" i="4" s="1"/>
  <c r="M68" i="4" s="1"/>
  <c r="D30" i="12" s="1"/>
  <c r="M29" i="4"/>
  <c r="D29" i="12" s="1"/>
  <c r="M55" i="4"/>
  <c r="D57" i="12" s="1"/>
  <c r="M53" i="4"/>
  <c r="M54" i="4" s="1"/>
  <c r="M82" i="4"/>
  <c r="M81" i="4"/>
  <c r="N27" i="4"/>
  <c r="N28" i="4" s="1"/>
  <c r="E28" i="12" s="1"/>
  <c r="N29" i="4"/>
  <c r="E29" i="12" s="1"/>
  <c r="N42" i="4"/>
  <c r="E43" i="12" s="1"/>
  <c r="N40" i="4"/>
  <c r="N81" i="4"/>
  <c r="N82" i="4"/>
  <c r="L29" i="4"/>
  <c r="C29" i="12" s="1"/>
  <c r="L27" i="4"/>
  <c r="L53" i="4"/>
  <c r="L54" i="4" s="1"/>
  <c r="L55" i="4"/>
  <c r="C57" i="12" s="1"/>
  <c r="K27" i="4"/>
  <c r="K28" i="4" s="1"/>
  <c r="K58" i="4" s="1"/>
  <c r="K68" i="4" s="1"/>
  <c r="B30" i="12" s="1"/>
  <c r="K29" i="4"/>
  <c r="B29" i="12" s="1"/>
  <c r="K42" i="4"/>
  <c r="B43" i="12" s="1"/>
  <c r="K40" i="4"/>
  <c r="K81" i="4"/>
  <c r="K82" i="4"/>
  <c r="B52" i="5"/>
  <c r="B64" i="5"/>
  <c r="K103" i="4"/>
  <c r="G54" i="7"/>
  <c r="E8" i="9"/>
  <c r="C64" i="5"/>
  <c r="K62" i="4"/>
  <c r="F8" i="9"/>
  <c r="G48" i="5"/>
  <c r="D14" i="7"/>
  <c r="D48" i="7" s="1"/>
  <c r="D49" i="7" s="1"/>
  <c r="K55" i="4"/>
  <c r="B57" i="12" s="1"/>
  <c r="N104" i="4"/>
  <c r="C28" i="13"/>
  <c r="D28" i="13"/>
  <c r="B28" i="13"/>
  <c r="K90" i="4"/>
  <c r="M90" i="4"/>
  <c r="L101" i="4"/>
  <c r="L107" i="4" s="1"/>
  <c r="C29" i="13" s="1"/>
  <c r="C27" i="13"/>
  <c r="D27" i="13"/>
  <c r="M101" i="4"/>
  <c r="M107" i="4" s="1"/>
  <c r="D29" i="13" s="1"/>
  <c r="N101" i="4"/>
  <c r="N107" i="4" s="1"/>
  <c r="E29" i="13" s="1"/>
  <c r="E27" i="13"/>
  <c r="K88" i="4"/>
  <c r="K89" i="4" s="1"/>
  <c r="K97" i="4" s="1"/>
  <c r="L90" i="4"/>
  <c r="L100" i="4"/>
  <c r="L106" i="4" s="1"/>
  <c r="C15" i="13" s="1"/>
  <c r="C13" i="13"/>
  <c r="D13" i="13"/>
  <c r="M100" i="4"/>
  <c r="M106" i="4" s="1"/>
  <c r="D15" i="13" s="1"/>
  <c r="N74" i="4"/>
  <c r="N75" i="4" s="1"/>
  <c r="N83" i="4" s="1"/>
  <c r="C14" i="13"/>
  <c r="L81" i="4"/>
  <c r="K74" i="4"/>
  <c r="K75" i="4" s="1"/>
  <c r="K83" i="4" s="1"/>
  <c r="N54" i="4"/>
  <c r="N46" i="4"/>
  <c r="N47" i="4" s="1"/>
  <c r="K53" i="4"/>
  <c r="K54" i="4" s="1"/>
  <c r="N55" i="4"/>
  <c r="E57" i="12" s="1"/>
  <c r="K41" i="4"/>
  <c r="N41" i="4"/>
  <c r="M41" i="4"/>
  <c r="M42" i="4"/>
  <c r="D43" i="12" s="1"/>
  <c r="L40" i="4"/>
  <c r="L41" i="4" s="1"/>
  <c r="L28" i="4"/>
  <c r="N15" i="4"/>
  <c r="L14" i="4"/>
  <c r="L6" i="4"/>
  <c r="L7" i="4" s="1"/>
  <c r="N16" i="4"/>
  <c r="F14" i="7"/>
  <c r="V14" i="7"/>
  <c r="B14" i="7"/>
  <c r="AJ48" i="7"/>
  <c r="AJ49" i="7" s="1"/>
  <c r="L48" i="7"/>
  <c r="L49" i="7" s="1"/>
  <c r="T48" i="7"/>
  <c r="T49" i="7" s="1"/>
  <c r="J14" i="7"/>
  <c r="AH14" i="7"/>
  <c r="AD14" i="7"/>
  <c r="Z14" i="7"/>
  <c r="X48" i="7"/>
  <c r="X49" i="7" s="1"/>
  <c r="R14" i="7"/>
  <c r="H48" i="7"/>
  <c r="H49" i="7" s="1"/>
  <c r="P48" i="7"/>
  <c r="P49" i="7" s="1"/>
  <c r="K15" i="4"/>
  <c r="K57" i="4" s="1"/>
  <c r="N14" i="7"/>
  <c r="A32" i="8"/>
  <c r="A9" i="8"/>
  <c r="L62" i="4" l="1"/>
  <c r="H82" i="8"/>
  <c r="M16" i="4"/>
  <c r="H84" i="8"/>
  <c r="B45" i="9"/>
  <c r="A56" i="5" s="1"/>
  <c r="B44" i="9"/>
  <c r="A55" i="5" s="1"/>
  <c r="B15" i="9"/>
  <c r="A19" i="8" s="1"/>
  <c r="B43" i="9"/>
  <c r="A54" i="5" s="1"/>
  <c r="B40" i="9"/>
  <c r="A48" i="10" s="1"/>
  <c r="B37" i="9"/>
  <c r="E84" i="5" s="1"/>
  <c r="M57" i="4"/>
  <c r="K67" i="4"/>
  <c r="B16" i="12" s="1"/>
  <c r="F54" i="7"/>
  <c r="H83" i="8"/>
  <c r="B55" i="9"/>
  <c r="I13" i="10" s="1"/>
  <c r="G64" i="5"/>
  <c r="G89" i="8" s="1"/>
  <c r="F52" i="7"/>
  <c r="F53" i="7" s="1"/>
  <c r="N58" i="4"/>
  <c r="N68" i="4" s="1"/>
  <c r="E30" i="12" s="1"/>
  <c r="K56" i="7"/>
  <c r="D28" i="12"/>
  <c r="G52" i="5"/>
  <c r="B39" i="9"/>
  <c r="B46" i="9" s="1"/>
  <c r="E54" i="5" s="1"/>
  <c r="B54" i="9"/>
  <c r="A13" i="10" s="1"/>
  <c r="H85" i="8"/>
  <c r="B28" i="12"/>
  <c r="G53" i="7"/>
  <c r="G55" i="7"/>
  <c r="B27" i="13"/>
  <c r="K101" i="4"/>
  <c r="K107" i="4" s="1"/>
  <c r="B29" i="13" s="1"/>
  <c r="N100" i="4"/>
  <c r="N106" i="4" s="1"/>
  <c r="E15" i="13" s="1"/>
  <c r="E13" i="13"/>
  <c r="K100" i="4"/>
  <c r="K106" i="4" s="1"/>
  <c r="B15" i="13" s="1"/>
  <c r="B13" i="13"/>
  <c r="E56" i="12"/>
  <c r="N60" i="4"/>
  <c r="N70" i="4" s="1"/>
  <c r="E58" i="12" s="1"/>
  <c r="B56" i="12"/>
  <c r="K60" i="4"/>
  <c r="K70" i="4" s="1"/>
  <c r="B58" i="12" s="1"/>
  <c r="L60" i="4"/>
  <c r="L70" i="4" s="1"/>
  <c r="C58" i="12" s="1"/>
  <c r="C56" i="12"/>
  <c r="D56" i="12"/>
  <c r="M60" i="4"/>
  <c r="M70" i="4" s="1"/>
  <c r="D58" i="12" s="1"/>
  <c r="D42" i="12"/>
  <c r="M59" i="4"/>
  <c r="M69" i="4" s="1"/>
  <c r="D44" i="12" s="1"/>
  <c r="E42" i="12"/>
  <c r="N59" i="4"/>
  <c r="N69" i="4" s="1"/>
  <c r="E44" i="12" s="1"/>
  <c r="L59" i="4"/>
  <c r="L69" i="4" s="1"/>
  <c r="C44" i="12" s="1"/>
  <c r="C42" i="12"/>
  <c r="K59" i="4"/>
  <c r="K69" i="4" s="1"/>
  <c r="B44" i="12" s="1"/>
  <c r="B42" i="12"/>
  <c r="C28" i="12"/>
  <c r="L58" i="4"/>
  <c r="L68" i="4" s="1"/>
  <c r="C30" i="12" s="1"/>
  <c r="N62" i="4"/>
  <c r="E15" i="12"/>
  <c r="N57" i="4"/>
  <c r="E14" i="12"/>
  <c r="L15" i="4"/>
  <c r="B14" i="12"/>
  <c r="A50" i="7"/>
  <c r="D53" i="7" s="1"/>
  <c r="G29" i="8" s="1"/>
  <c r="K53" i="7"/>
  <c r="D15" i="12" l="1"/>
  <c r="M62" i="4"/>
  <c r="M67" i="4" s="1"/>
  <c r="D16" i="12" s="1"/>
  <c r="F55" i="7"/>
  <c r="G73" i="5"/>
  <c r="G90" i="8"/>
  <c r="C14" i="12"/>
  <c r="L57" i="4"/>
  <c r="L67" i="4" s="1"/>
  <c r="C16" i="12" s="1"/>
  <c r="N67" i="4"/>
  <c r="E16" i="12" s="1"/>
  <c r="D52" i="7"/>
  <c r="B34" i="9" s="1"/>
  <c r="G75" i="5" l="1"/>
  <c r="H87" i="8"/>
  <c r="D54" i="7"/>
  <c r="D62" i="7" s="1"/>
  <c r="G28" i="8"/>
  <c r="H43" i="8" s="1"/>
  <c r="D58" i="7"/>
  <c r="D34" i="9" s="1"/>
  <c r="D61" i="7" l="1"/>
  <c r="D60" i="7"/>
  <c r="D55" i="7"/>
  <c r="D57" i="7" s="1"/>
  <c r="D63" i="7"/>
  <c r="G30" i="8"/>
  <c r="H44" i="8" s="1"/>
  <c r="B33" i="9" l="1"/>
  <c r="B35" i="9" s="1"/>
  <c r="I44" i="8"/>
  <c r="F61" i="7"/>
  <c r="F63" i="7"/>
  <c r="D64" i="7"/>
  <c r="D65" i="7" s="1"/>
  <c r="F60" i="7"/>
  <c r="F62" i="7"/>
  <c r="C12" i="9" l="1"/>
  <c r="G61" i="7"/>
  <c r="G62" i="7"/>
  <c r="G63" i="7"/>
  <c r="G60" i="7"/>
  <c r="D10" i="9"/>
  <c r="E86" i="5" s="1"/>
  <c r="D83" i="5"/>
  <c r="G64" i="7" l="1"/>
  <c r="G65" i="7" s="1"/>
  <c r="F66" i="7" s="1"/>
</calcChain>
</file>

<file path=xl/sharedStrings.xml><?xml version="1.0" encoding="utf-8"?>
<sst xmlns="http://schemas.openxmlformats.org/spreadsheetml/2006/main" count="621" uniqueCount="347">
  <si>
    <t>Name of Fund</t>
  </si>
  <si>
    <t>Date of Birth</t>
  </si>
  <si>
    <t>Minimum PVF</t>
  </si>
  <si>
    <t>Maximum PVF</t>
  </si>
  <si>
    <t>Background Calculations</t>
  </si>
  <si>
    <t>Number of days in first year</t>
  </si>
  <si>
    <t>Number of Days in Year</t>
  </si>
  <si>
    <t>Date of start of Financial Year</t>
  </si>
  <si>
    <t>Date of end of Financial Year</t>
  </si>
  <si>
    <t>Age</t>
  </si>
  <si>
    <t>Maximum</t>
  </si>
  <si>
    <t>Minimum</t>
  </si>
  <si>
    <t>Term Allocated Pension - Payment Factors</t>
  </si>
  <si>
    <t>Term Remaining</t>
  </si>
  <si>
    <t>Payment Factor</t>
  </si>
  <si>
    <t>Pension Valuation Table as at 1/1/06</t>
  </si>
  <si>
    <t>AP</t>
  </si>
  <si>
    <t>Account 1</t>
  </si>
  <si>
    <t>Account 2</t>
  </si>
  <si>
    <t>Account 3</t>
  </si>
  <si>
    <t>Account 4</t>
  </si>
  <si>
    <t>SEGREGATED ASSET PROPORTIONS</t>
  </si>
  <si>
    <t>FUND:</t>
  </si>
  <si>
    <t>BALANCE DATE</t>
  </si>
  <si>
    <t>Days</t>
  </si>
  <si>
    <t>NAME</t>
  </si>
  <si>
    <t>P = "1" , S = "2"</t>
  </si>
  <si>
    <t>ACCOUNT TYPE</t>
  </si>
  <si>
    <t>DATE</t>
  </si>
  <si>
    <t>AMOUNT</t>
  </si>
  <si>
    <t>WEIGHTED</t>
  </si>
  <si>
    <t>dd/mm/yy</t>
  </si>
  <si>
    <t>START BALANCE</t>
  </si>
  <si>
    <t>TRANSACTIONS</t>
  </si>
  <si>
    <t>BOOK TOTAL</t>
  </si>
  <si>
    <t>WEIGHTED TOTAL</t>
  </si>
  <si>
    <t>(CALCULATION AID ONLY)</t>
  </si>
  <si>
    <t>AVERAGE PENSION ASSETS</t>
  </si>
  <si>
    <t>AVERAGE SUPER ASSETS</t>
  </si>
  <si>
    <t>AVERAGE TOTAL ASSETS</t>
  </si>
  <si>
    <t>PROPORTION</t>
  </si>
  <si>
    <t>%</t>
  </si>
  <si>
    <t>TOTAL START OF YEAR ASSETS</t>
  </si>
  <si>
    <t>TOTAL END (WEIGHTED)</t>
  </si>
  <si>
    <t>Input Parameters</t>
  </si>
  <si>
    <t>Unsegregated pension liabilities</t>
  </si>
  <si>
    <t>Unsegregated non pension liabilities</t>
  </si>
  <si>
    <t>Unsegregated superannuation liabilities</t>
  </si>
  <si>
    <t>ACTUARIAL CERTIFICATE</t>
  </si>
  <si>
    <t>Paul B. Anderson</t>
  </si>
  <si>
    <t>Fellow of the Institute of Actuaries of Australia</t>
  </si>
  <si>
    <t>Certificate Date</t>
  </si>
  <si>
    <t>PBA</t>
  </si>
  <si>
    <t>Super Pty Ltd</t>
  </si>
  <si>
    <t>Pensioners</t>
  </si>
  <si>
    <t>PBA Super Pty Ltd ABN 14 130 493 695</t>
  </si>
  <si>
    <t>Y</t>
  </si>
  <si>
    <t>Comment</t>
  </si>
  <si>
    <t>PO Box 34, Clifton Hill, Victoria  3068</t>
  </si>
  <si>
    <t>Account Based Pension</t>
  </si>
  <si>
    <t>Start Bal Est</t>
  </si>
  <si>
    <t>FOR</t>
  </si>
  <si>
    <t>Tel: (03) 9481 3390  Fax: (03) 9481 3345  Email: mail@pbasuper.com.au  Web: www.pbasuper.com.au</t>
  </si>
  <si>
    <t>Firm Name</t>
  </si>
  <si>
    <t>Postal Address</t>
  </si>
  <si>
    <t>Town / Suburb</t>
  </si>
  <si>
    <t>Postcode</t>
  </si>
  <si>
    <t>Actual AP for the year</t>
  </si>
  <si>
    <t>Actual ABP for the year</t>
  </si>
  <si>
    <t>Other</t>
  </si>
  <si>
    <t>Pension Accounts</t>
  </si>
  <si>
    <t>Description</t>
  </si>
  <si>
    <t>Member Name</t>
  </si>
  <si>
    <t>Transition to Retirement (Yes / No)</t>
  </si>
  <si>
    <t xml:space="preserve">    Contributions</t>
  </si>
  <si>
    <t xml:space="preserve">    Other</t>
  </si>
  <si>
    <t xml:space="preserve">    Pension Payments</t>
  </si>
  <si>
    <t>Member 1</t>
  </si>
  <si>
    <t>Member 2</t>
  </si>
  <si>
    <t>Member 3</t>
  </si>
  <si>
    <t>Member 4</t>
  </si>
  <si>
    <t>Only 1 column per member</t>
  </si>
  <si>
    <t>Calculated Minimum ABP</t>
  </si>
  <si>
    <t>Calculated Maximum ABP</t>
  </si>
  <si>
    <t xml:space="preserve">    Trustee 1</t>
  </si>
  <si>
    <t xml:space="preserve">    Trustee 2</t>
  </si>
  <si>
    <t xml:space="preserve">    Trustee 3 (if applicable)</t>
  </si>
  <si>
    <t xml:space="preserve">    Trustee 4 (if applicable)</t>
  </si>
  <si>
    <t>Certificate Calculations</t>
  </si>
  <si>
    <t>Total</t>
  </si>
  <si>
    <t>PBA SUPER PTY LTD</t>
  </si>
  <si>
    <t>GENERAL INFORMATION</t>
  </si>
  <si>
    <t>Please attach the most recent actuarial certificate if prepared by another actuary.</t>
  </si>
  <si>
    <t>Contact Person</t>
  </si>
  <si>
    <t>Section B - Fund Details</t>
  </si>
  <si>
    <t>Calculation Sheet</t>
  </si>
  <si>
    <t>Corporate Trustee Test</t>
  </si>
  <si>
    <t>For Certificate</t>
  </si>
  <si>
    <t>Individual Trustee Wording</t>
  </si>
  <si>
    <t>Trustee</t>
  </si>
  <si>
    <t>&lt;put "s" for individual trustees&gt;</t>
  </si>
  <si>
    <t>Name of Corporate Trustee (if applicable)</t>
  </si>
  <si>
    <t>Contact Details</t>
  </si>
  <si>
    <t>&lt;interim calc&gt;</t>
  </si>
  <si>
    <t>&lt;put date certificate produced&gt;</t>
  </si>
  <si>
    <t>&lt;put "s" in more that one pensioner&gt;</t>
  </si>
  <si>
    <t>Reserve</t>
  </si>
  <si>
    <t>Pensioner Name</t>
  </si>
  <si>
    <t>Pensioner 1</t>
  </si>
  <si>
    <t>Pensioner 2</t>
  </si>
  <si>
    <t>Pension 3</t>
  </si>
  <si>
    <t>Pensioner 4</t>
  </si>
  <si>
    <t>Account Balance</t>
  </si>
  <si>
    <t>Account Balance at Calculation Date</t>
  </si>
  <si>
    <t>N</t>
  </si>
  <si>
    <t>Date commuted (if applicable otherwise blank)</t>
  </si>
  <si>
    <t>First Account Based Pension</t>
  </si>
  <si>
    <t>End Date</t>
  </si>
  <si>
    <t>Age at Calc Date</t>
  </si>
  <si>
    <t>ABP Factor at Calc Date</t>
  </si>
  <si>
    <t>Minimum ABP</t>
  </si>
  <si>
    <t>Maximum ABP</t>
  </si>
  <si>
    <t>Extra ABP 1</t>
  </si>
  <si>
    <t>Extra ABP 3</t>
  </si>
  <si>
    <t>Extra ABP 2</t>
  </si>
  <si>
    <t>First Extra ABP</t>
  </si>
  <si>
    <t>Second Extra ABP</t>
  </si>
  <si>
    <t>Third Extra ABP</t>
  </si>
  <si>
    <t>Purchase Date of the First Extra ABP</t>
  </si>
  <si>
    <t>Account Balance at Purchase Date</t>
  </si>
  <si>
    <t>Purchase Date of the Second Extra ABP</t>
  </si>
  <si>
    <t>Purchase Date of the Third Extra ABP</t>
  </si>
  <si>
    <t>Check Against SIS Regulations</t>
  </si>
  <si>
    <t>Check ABP1 min</t>
  </si>
  <si>
    <t>Check ABP2 min</t>
  </si>
  <si>
    <t>Check ABP3 min</t>
  </si>
  <si>
    <t>Check ABP1 overall</t>
  </si>
  <si>
    <t>Check ABP2 overall</t>
  </si>
  <si>
    <t>Check ABP3 overall</t>
  </si>
  <si>
    <t>Check ABP1 max</t>
  </si>
  <si>
    <t>Check ABP2 max</t>
  </si>
  <si>
    <t>Check ABP3 max</t>
  </si>
  <si>
    <t>Check ABP min</t>
  </si>
  <si>
    <t>Check ABP max</t>
  </si>
  <si>
    <t>Check ABP overall</t>
  </si>
  <si>
    <t>Calculated Minimum AP</t>
  </si>
  <si>
    <t>Calculated Maximum AP</t>
  </si>
  <si>
    <t>MLP Remaining Term at Calculation Date</t>
  </si>
  <si>
    <t>Actual MLP for the year</t>
  </si>
  <si>
    <t>Using New PVF (N) or Old PVF (O) *</t>
  </si>
  <si>
    <t>Minimum AP</t>
  </si>
  <si>
    <t>MLP</t>
  </si>
  <si>
    <t>MLP Factor at Calc Date</t>
  </si>
  <si>
    <t>Minimum MLP</t>
  </si>
  <si>
    <t>Maximum MLP</t>
  </si>
  <si>
    <t>Check AP min</t>
  </si>
  <si>
    <t>Check MLP min</t>
  </si>
  <si>
    <t>Check AP max</t>
  </si>
  <si>
    <t>Check MLP max</t>
  </si>
  <si>
    <t>Remaining Term at Calc Date</t>
  </si>
  <si>
    <t>Check AP overall</t>
  </si>
  <si>
    <t>Check MLP overall</t>
  </si>
  <si>
    <t>* excludes taxes, expenses &amp; net earnings</t>
  </si>
  <si>
    <t>* excludes contribution taxes, expenses &amp; net earnings</t>
  </si>
  <si>
    <t>Table</t>
  </si>
  <si>
    <t>Yes</t>
  </si>
  <si>
    <t>No</t>
  </si>
  <si>
    <t>New</t>
  </si>
  <si>
    <t>O</t>
  </si>
  <si>
    <t>Old</t>
  </si>
  <si>
    <t>Contribution</t>
  </si>
  <si>
    <t>PP</t>
  </si>
  <si>
    <t>Pension Payment</t>
  </si>
  <si>
    <t>CO</t>
  </si>
  <si>
    <t>TI</t>
  </si>
  <si>
    <t>TO</t>
  </si>
  <si>
    <t>OT</t>
  </si>
  <si>
    <t>Transfer In (incl R/Os)</t>
  </si>
  <si>
    <t>Transfer Out (incl R/O &amp; Bfts)</t>
  </si>
  <si>
    <t>Source</t>
  </si>
  <si>
    <t>Date</t>
  </si>
  <si>
    <t>Pensioner 3</t>
  </si>
  <si>
    <t>Amount</t>
  </si>
  <si>
    <t>Uniform</t>
  </si>
  <si>
    <t>Interim End Balance</t>
  </si>
  <si>
    <t>Total of Transactions during the year</t>
  </si>
  <si>
    <t>Total at Year End *</t>
  </si>
  <si>
    <t>* subject to review by the Actuary</t>
  </si>
  <si>
    <t>Range Check</t>
  </si>
  <si>
    <t>End Bal Est</t>
  </si>
  <si>
    <t>END BOOK ASSETS CHECK :</t>
  </si>
  <si>
    <t>Actual Weighted</t>
  </si>
  <si>
    <t>Any comments you wish to make?</t>
  </si>
  <si>
    <t>Any segregated pension assets during the year (Y/N)?</t>
  </si>
  <si>
    <t xml:space="preserve">    Transfer in (rollovers / internal transfers)</t>
  </si>
  <si>
    <t xml:space="preserve">    Transfer out (lump sums / internal transfers)</t>
  </si>
  <si>
    <t xml:space="preserve">    Transfer In (rollovers / internal transfers)</t>
  </si>
  <si>
    <t>Check for transfer outs</t>
  </si>
  <si>
    <t>State</t>
  </si>
  <si>
    <t>ACT</t>
  </si>
  <si>
    <t>NSW</t>
  </si>
  <si>
    <t>NT</t>
  </si>
  <si>
    <t>QLD</t>
  </si>
  <si>
    <t>SA</t>
  </si>
  <si>
    <t>TAS</t>
  </si>
  <si>
    <t>VIC</t>
  </si>
  <si>
    <t>WA</t>
  </si>
  <si>
    <t>Description of Transfer</t>
  </si>
  <si>
    <t>Transfer Date</t>
  </si>
  <si>
    <t>CS</t>
  </si>
  <si>
    <t>Contribution Split</t>
  </si>
  <si>
    <t>AR</t>
  </si>
  <si>
    <t>Allocation to/from Reserve</t>
  </si>
  <si>
    <t>Specify in Comments Section</t>
  </si>
  <si>
    <t>Transfer from Pension</t>
  </si>
  <si>
    <t>Data OK indicator</t>
  </si>
  <si>
    <t>Total Member Opening Balances</t>
  </si>
  <si>
    <t>Total Member Closing Balances (excluding taxes, expense &amp; net earnings)</t>
  </si>
  <si>
    <t>Terminated</t>
  </si>
  <si>
    <t>Any comments you wish to make or special instructions?</t>
  </si>
  <si>
    <t>-  Put amount as positive for credits and negative for debits</t>
  </si>
  <si>
    <t>Instructions on entering member transactions</t>
  </si>
  <si>
    <t>difference</t>
  </si>
  <si>
    <t>Original / First ABP</t>
  </si>
  <si>
    <t>Allocated Pensions</t>
  </si>
  <si>
    <t>Market Linked Pensions</t>
  </si>
  <si>
    <t>Non-Pension Accounts</t>
  </si>
  <si>
    <t>Non-Pension Members</t>
  </si>
  <si>
    <t>Transfer from Non-Pension</t>
  </si>
  <si>
    <t>Pension to Non-Pension</t>
  </si>
  <si>
    <t>Non-Pension to Pension</t>
  </si>
  <si>
    <t>P2N</t>
  </si>
  <si>
    <t>N2P</t>
  </si>
  <si>
    <t>Did Fund Windup During the Year (Y/N)?</t>
  </si>
  <si>
    <t>Member name only used for ID purposes. Don't be concerned if name extends beyond the width of the cell.</t>
  </si>
  <si>
    <t>This sheet Is optional and can be used to verify that ABPs paid are within allowable limits</t>
  </si>
  <si>
    <t>This sheet Is optional and can be used to verify that APs and MLPs paid are within allowable limits</t>
  </si>
  <si>
    <t>Pension Valuation Table Old</t>
  </si>
  <si>
    <t>* Generally New Pension Valuation Factor (PVF) if AP purchased after 31/12/05</t>
  </si>
  <si>
    <t>Represented by:</t>
  </si>
  <si>
    <t xml:space="preserve">  Pension Member Balances</t>
  </si>
  <si>
    <t>Plus Member Transactions During the year</t>
  </si>
  <si>
    <t>* excludes all taxes, expenses &amp; net earnings</t>
  </si>
  <si>
    <t>The above amounts are each rounded to the nearest dollar</t>
  </si>
  <si>
    <t>SUMMARY OF DATA PROVIDED FOR</t>
  </si>
  <si>
    <t>AN ACTUARIAL CERTIFICATE</t>
  </si>
  <si>
    <t>PBA Super</t>
  </si>
  <si>
    <t>Data Provider:</t>
  </si>
  <si>
    <t xml:space="preserve">  Non-Pension Member Balances</t>
  </si>
  <si>
    <t>-  Do not cut and paste data cells (yellows cells will go white if this is done). OK to copy cells and delete cells</t>
  </si>
  <si>
    <t>Balancing Items (Contributions Tax, Expenses, Net Fund Earnings, Year End Adjustments) - optional</t>
  </si>
  <si>
    <t>*</t>
  </si>
  <si>
    <t>only use for display on Transactions</t>
  </si>
  <si>
    <t>Terminated Client</t>
  </si>
  <si>
    <t>Weighted Total Check</t>
  </si>
  <si>
    <t>email address</t>
  </si>
  <si>
    <t>Otherwise Full Names of Individual Trustees</t>
  </si>
  <si>
    <t>Interim Calculation of Tax Exempt Applying to Investment Income for the Year *</t>
  </si>
  <si>
    <t>-  If there are numerous transactions for a particularly source then it would be suitable to put the date as the 15th day of each month and give the total amount for that month.  Large amounts should be shown separately with a specific date.</t>
  </si>
  <si>
    <t>State of person requesting the certificate</t>
  </si>
  <si>
    <t>For members with multiple pension accounts at the start of the year please combine into a single account for each member (same for non-pension accounts)</t>
  </si>
  <si>
    <t>-  Contributions includes all types (eg concessional, non-concessional, co-contribution, spouse etc).  Pensions are gross amounts.  Other includes specific member transactions (excludes expenses, contributions tax, earnings etc)</t>
  </si>
  <si>
    <t>Financial Information:</t>
  </si>
  <si>
    <t>Section A - Data Provider</t>
  </si>
  <si>
    <t>*  Confirm Year End above is consistent with the Net Fund Assets determined in the interim Financial Statements (Y/N)</t>
  </si>
  <si>
    <t>Remaining Balance (if any) After Transfer Out</t>
  </si>
  <si>
    <t>Page 2 of certificate - are the pensions within limits</t>
  </si>
  <si>
    <t>Number of Transfer out transactions Pension Account</t>
  </si>
  <si>
    <t>Non-Pension Account</t>
  </si>
  <si>
    <t>PBA Super Pty Ltd can complete an actuarial certificate for funds with account-based pensions (ABP), allocated pensions (AP) and/or market-linked pensions (MLP).</t>
  </si>
  <si>
    <t>Will only be done if you have confirmed that the Total End Member Balances are consistent with Net Fund Assets at Year End</t>
  </si>
  <si>
    <t>-  If a member has multiple pension accounts or non-pension accounts then these should be combined for each type of account.</t>
  </si>
  <si>
    <t>* also pension check</t>
  </si>
  <si>
    <t>2-A10, 2-A48, B43, B46</t>
  </si>
  <si>
    <t>B48</t>
  </si>
  <si>
    <t>Member/Pensioner Name</t>
  </si>
  <si>
    <t>Section C - Member Information</t>
  </si>
  <si>
    <t>Section D - Member Account (Pension &amp; Non-Pension Accounts) During the Year</t>
  </si>
  <si>
    <t>Section E - Summary of Member Transactions (derived from information on "Transactions Sheet")</t>
  </si>
  <si>
    <t>Check and change start balances or Transactions (Section D) if required.</t>
  </si>
  <si>
    <t>Section F - Member Balance Reconciliation</t>
  </si>
  <si>
    <t xml:space="preserve">    No need to account for any tax on investment earnings in Section F but also OK to allow for approximate tax</t>
  </si>
  <si>
    <t>Section G - Calculation of Tax Exempt Percentage</t>
  </si>
  <si>
    <t>To request a signed actuarial certificate please complete the yellow cells in Sections A, B, C, D, E &amp; F</t>
  </si>
  <si>
    <t>Complete Member Names, Opening Pension and Non-Pension Balances in Section E below and then go to Sheet Titled "Transactions" - Section D</t>
  </si>
  <si>
    <t>Once the data has been entered then return to Fund &amp; Member Details Sheet and check Section E</t>
  </si>
  <si>
    <t>If you would like to check that the Account Based Pensions (ABPs) are within allowable limits go to the Sheet titled "Optional ABPs" - Section E1</t>
  </si>
  <si>
    <t>If you would like to check that the Allocated Pensions (APs) or Market Linked Pensions (MLPs) are within allowable limits go to the Sheet titled "Optional AP MLP" - Section E2</t>
  </si>
  <si>
    <t>Section E1 - Account Based Pensions (ABPs) at start of year and purchased during the year</t>
  </si>
  <si>
    <t>Section E2 - Allocated Pensions (APs) and / or Market Linked Pensions (MLPs)</t>
  </si>
  <si>
    <t>An actuarial certificate is required where a fund has both pension and non-pension members at any time during the year and the fund assets are not segregated.</t>
  </si>
  <si>
    <t>Check for positive transfer outs (pension accounts)</t>
  </si>
  <si>
    <t>Test comment for commutations on start date</t>
  </si>
  <si>
    <t>Please return the completed spreadsheet request by email to mail@pbasuper.com.au (you can also click this sentence)</t>
  </si>
  <si>
    <t>Percentage check #1</t>
  </si>
  <si>
    <t>Percentage check #2</t>
  </si>
  <si>
    <t>Ver 1.0</t>
  </si>
  <si>
    <t>-  Use the with line with Date of Uniform for contributions / pensions that are made uniformly over the year (eg regular monthly).  For transactions made uniformly over a part period put the mid point on a separate line as the date (eg from 1 July to 31 January the date would be 15 October)</t>
  </si>
  <si>
    <t>(a) the Trust Deed governing the Fund permits the payment of the relevant pensions; and</t>
  </si>
  <si>
    <t>if Applicable</t>
  </si>
  <si>
    <t>B49</t>
  </si>
  <si>
    <t>Pension Percentage May be incorrect</t>
  </si>
  <si>
    <t>Pension  shortfallShortfall</t>
  </si>
  <si>
    <t>* sum these fields for display test for percentage 1-D81</t>
  </si>
  <si>
    <t>For calculation purposes the commutation date is the calculation date (will produce a pro rata minimum based on 1 day)</t>
  </si>
  <si>
    <t>Check for Transfer Outs Page 1 (1-E82)</t>
  </si>
  <si>
    <t>Check for positive pension payments (1-A54)</t>
  </si>
  <si>
    <t>Check for Terminated Fund (1-E83)</t>
  </si>
  <si>
    <t>Check for Pension Transfer Outs Page 2 (2-A50)</t>
  </si>
  <si>
    <t>Check for Transfer Outs Page 2 (2-A48)</t>
  </si>
  <si>
    <t>Check for Non-Pension Transfer Outs Page 2 (2-A49)</t>
  </si>
  <si>
    <t>Check for Pension Transfer Ins Page 2 (2-B59)</t>
  </si>
  <si>
    <t>Check for remaining balance (2-B61)</t>
  </si>
  <si>
    <t>Check for Missing Pension Source Code (2-A14)</t>
  </si>
  <si>
    <t>Check for Missing Non-Pension Source Code (2-I14)</t>
  </si>
  <si>
    <t>pensioners</t>
  </si>
  <si>
    <t>Pension para 3, 1st sentence (6-A19)</t>
  </si>
  <si>
    <t>Pension Shorfall Comments (6-A19)</t>
  </si>
  <si>
    <t>Segregation Comment in certificate (6-A32, 6-B95)</t>
  </si>
  <si>
    <t>Reserves (6-B98)</t>
  </si>
  <si>
    <t>Comment (1-C32)</t>
  </si>
  <si>
    <t>Comment (1-C33)</t>
  </si>
  <si>
    <t>Test Start Balances against Net Assets(1-H70)</t>
  </si>
  <si>
    <t>Segregated Assets Warning (1-C31)</t>
  </si>
  <si>
    <t>Data Review (1-E84)</t>
  </si>
  <si>
    <t>The certificate has been prepared under Section 295-390 of the Income Tax Assessment Act 1997 which relates to the proportion of assessable income of a complying superannuation fund which is exempt from tax.  It also has regard to Income Tax Ruling IT 2617 (withdrawn) which required that certain information be provided and be consistent with the Institute of Actuaries of Australia's Guidance Note 451.</t>
  </si>
  <si>
    <t>If a member has multiple ABPs at 1/07/13 these should be combined for each member</t>
  </si>
  <si>
    <t>Special error check as well</t>
  </si>
  <si>
    <t>Check for commutations on 1/07/14 (3-A17)</t>
  </si>
  <si>
    <t>Check for positive TOs (pension accounts) * (1-A54)</t>
  </si>
  <si>
    <t>Version 1.0</t>
  </si>
  <si>
    <t>Pension Shortfall Wording (depending on trusteeship) - 3rd para of certificate</t>
  </si>
  <si>
    <t>Standard/Termination Wording - Final para 1st page</t>
  </si>
  <si>
    <t>ACTUARIAL CERTIFICATE REQUEST  FOR YEAR ENDED 30 JUNE 2017</t>
  </si>
  <si>
    <t>Net Fund Assets as 30/06/16</t>
  </si>
  <si>
    <t>Any pension shortfall payments relating to 2017 year?</t>
  </si>
  <si>
    <t>Opening Balance at 1/07/16</t>
  </si>
  <si>
    <t>Closing Balances at 30/06/17 *</t>
  </si>
  <si>
    <t>Check for Shortfall 2017 Pensions payments (2-A10)</t>
  </si>
  <si>
    <t>Calculation date (later of purchase date and 1/07/16)</t>
  </si>
  <si>
    <t>FOR THE YEAR ENDED 30 JUNE 2017</t>
  </si>
  <si>
    <t>The average value during the 2016/17 year of income of unsegregated pension liabilities and unsegregated superannuation liabilities are as follows:</t>
  </si>
  <si>
    <t>The proportion of exempt investment income during the year 2016/17 is:</t>
  </si>
  <si>
    <t>Net Fund Assets at 30/06/16</t>
  </si>
  <si>
    <t>Net Fund Assets at 30/06/17 *</t>
  </si>
  <si>
    <t>Check for $1.6m end balance (1-E54,44,56)</t>
  </si>
  <si>
    <t>Check for positive TOs (non-pension accounts) (1-A66)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</si>
</sst>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
    <numFmt numFmtId="165" formatCode="0.0000000"/>
    <numFmt numFmtId="166" formatCode="0.0"/>
    <numFmt numFmtId="167" formatCode="0.0%"/>
    <numFmt numFmtId="168" formatCode="[$-C09]d\ mmmm\ yyyy;@"/>
  </numFmts>
  <fonts count="36" x14ac:knownFonts="1">
    <font>
      <sz val="10"/>
      <name val="Arial"/>
    </font>
    <font>
      <b/>
      <sz val="10"/>
      <name val="Arial"/>
      <family val="2"/>
    </font>
    <font>
      <b/>
      <sz val="10"/>
      <color indexed="10"/>
      <name val="Arial"/>
      <family val="2"/>
    </font>
    <font>
      <u/>
      <sz val="10"/>
      <color indexed="12"/>
      <name val="Arial"/>
      <family val="2"/>
    </font>
    <font>
      <b/>
      <i/>
      <sz val="10"/>
      <name val="Arial"/>
      <family val="2"/>
    </font>
    <font>
      <sz val="8"/>
      <name val="Arial"/>
      <family val="2"/>
    </font>
    <font>
      <b/>
      <sz val="12"/>
      <name val="Tahoma"/>
      <family val="2"/>
    </font>
    <font>
      <sz val="12"/>
      <name val="Tahoma"/>
      <family val="2"/>
    </font>
    <font>
      <b/>
      <sz val="10"/>
      <name val="Tahoma"/>
      <family val="2"/>
    </font>
    <font>
      <sz val="10"/>
      <name val="Tahoma"/>
      <family val="2"/>
    </font>
    <font>
      <sz val="8"/>
      <name val="Tahoma"/>
      <family val="2"/>
    </font>
    <font>
      <u/>
      <sz val="72"/>
      <color indexed="18"/>
      <name val="Times New Roman"/>
      <family val="1"/>
    </font>
    <font>
      <sz val="8"/>
      <color indexed="18"/>
      <name val="Times New Roman"/>
      <family val="1"/>
    </font>
    <font>
      <sz val="14"/>
      <color indexed="18"/>
      <name val="Times New Roman"/>
      <family val="1"/>
    </font>
    <font>
      <sz val="14"/>
      <name val="Arial"/>
      <family val="2"/>
    </font>
    <font>
      <sz val="10"/>
      <name val="Arial"/>
      <family val="2"/>
    </font>
    <font>
      <i/>
      <sz val="10"/>
      <name val="Arial"/>
      <family val="2"/>
    </font>
    <font>
      <b/>
      <sz val="12"/>
      <name val="Arial"/>
      <family val="2"/>
    </font>
    <font>
      <b/>
      <sz val="11"/>
      <name val="Arial"/>
      <family val="2"/>
    </font>
    <font>
      <sz val="11"/>
      <name val="Arial"/>
      <family val="2"/>
    </font>
    <font>
      <b/>
      <sz val="8"/>
      <name val="Arial"/>
      <family val="2"/>
    </font>
    <font>
      <sz val="9"/>
      <name val="Arial"/>
      <family val="2"/>
    </font>
    <font>
      <b/>
      <sz val="9"/>
      <name val="Arial"/>
      <family val="2"/>
    </font>
    <font>
      <i/>
      <sz val="9"/>
      <name val="Arial"/>
      <family val="2"/>
    </font>
    <font>
      <i/>
      <sz val="8"/>
      <name val="Arial"/>
      <family val="2"/>
    </font>
    <font>
      <sz val="9"/>
      <name val="Tahoma"/>
      <family val="2"/>
    </font>
    <font>
      <b/>
      <sz val="20"/>
      <name val="Arial"/>
      <family val="2"/>
    </font>
    <font>
      <b/>
      <sz val="20"/>
      <color indexed="18"/>
      <name val="Times New Roman"/>
      <family val="1"/>
    </font>
    <font>
      <b/>
      <i/>
      <sz val="8"/>
      <name val="Arial"/>
      <family val="2"/>
    </font>
    <font>
      <b/>
      <i/>
      <sz val="9"/>
      <name val="Arial"/>
      <family val="2"/>
    </font>
    <font>
      <b/>
      <sz val="10"/>
      <color rgb="FFFF0000"/>
      <name val="Arial"/>
      <family val="2"/>
    </font>
    <font>
      <sz val="10"/>
      <color rgb="FFFF0000"/>
      <name val="Arial"/>
      <family val="2"/>
    </font>
    <font>
      <sz val="9"/>
      <color rgb="FFFF0000"/>
      <name val="Arial"/>
      <family val="2"/>
    </font>
    <font>
      <i/>
      <sz val="8"/>
      <color rgb="FFFF0000"/>
      <name val="Arial"/>
      <family val="2"/>
    </font>
    <font>
      <b/>
      <sz val="9"/>
      <color rgb="FFFF0000"/>
      <name val="Arial"/>
      <family val="2"/>
    </font>
    <font>
      <sz val="10"/>
      <color rgb="FF00B050"/>
      <name val="Arial"/>
      <family val="2"/>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31"/>
        <bgColor indexed="64"/>
      </patternFill>
    </fill>
    <fill>
      <patternFill patternType="solid">
        <fgColor rgb="FFFFFF00"/>
        <bgColor indexed="64"/>
      </patternFill>
    </fill>
    <fill>
      <patternFill patternType="solid">
        <fgColor theme="6" tint="0.59996337778862885"/>
        <bgColor indexed="64"/>
      </patternFill>
    </fill>
  </fills>
  <borders count="4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29">
    <xf numFmtId="0" fontId="0" fillId="0" borderId="0" xfId="0"/>
    <xf numFmtId="0" fontId="1" fillId="0" borderId="0" xfId="0" applyFont="1"/>
    <xf numFmtId="0" fontId="2" fillId="0" borderId="0" xfId="0" applyFont="1"/>
    <xf numFmtId="14" fontId="0" fillId="0" borderId="0" xfId="0" applyNumberFormat="1"/>
    <xf numFmtId="4" fontId="0" fillId="0" borderId="0" xfId="0" applyNumberFormat="1"/>
    <xf numFmtId="1" fontId="0" fillId="0" borderId="0" xfId="0" applyNumberFormat="1"/>
    <xf numFmtId="2" fontId="0" fillId="0" borderId="0" xfId="0" applyNumberFormat="1"/>
    <xf numFmtId="0" fontId="0" fillId="0" borderId="0" xfId="0" applyBorder="1"/>
    <xf numFmtId="0" fontId="4" fillId="0" borderId="0" xfId="0" applyFont="1"/>
    <xf numFmtId="0" fontId="6" fillId="0" borderId="0" xfId="0" applyFont="1" applyAlignment="1">
      <alignment horizontal="left"/>
    </xf>
    <xf numFmtId="0" fontId="7" fillId="0" borderId="0" xfId="0" applyFont="1" applyAlignment="1">
      <alignment horizontal="right"/>
    </xf>
    <xf numFmtId="0" fontId="8" fillId="0" borderId="0" xfId="0" applyFont="1" applyAlignment="1">
      <alignment horizontal="left"/>
    </xf>
    <xf numFmtId="0" fontId="9" fillId="0" borderId="0" xfId="0" applyFont="1" applyAlignment="1">
      <alignment horizontal="right"/>
    </xf>
    <xf numFmtId="14" fontId="9" fillId="0" borderId="0" xfId="0" applyNumberFormat="1" applyFont="1" applyAlignment="1">
      <alignment horizontal="right"/>
    </xf>
    <xf numFmtId="0" fontId="9" fillId="0" borderId="0" xfId="0" applyFont="1" applyAlignment="1">
      <alignment horizontal="left"/>
    </xf>
    <xf numFmtId="0" fontId="8" fillId="0" borderId="0" xfId="0" applyFont="1" applyAlignment="1">
      <alignment horizontal="right"/>
    </xf>
    <xf numFmtId="0" fontId="10" fillId="0" borderId="0" xfId="0" applyFont="1" applyAlignment="1">
      <alignment horizontal="left"/>
    </xf>
    <xf numFmtId="0" fontId="10" fillId="0" borderId="0" xfId="0" applyFont="1" applyAlignment="1">
      <alignment horizontal="right"/>
    </xf>
    <xf numFmtId="165" fontId="10" fillId="0" borderId="0" xfId="0" applyNumberFormat="1" applyFont="1" applyAlignment="1">
      <alignment horizontal="right"/>
    </xf>
    <xf numFmtId="1" fontId="6" fillId="0" borderId="0" xfId="0" applyNumberFormat="1" applyFont="1" applyAlignment="1">
      <alignment horizontal="right"/>
    </xf>
    <xf numFmtId="3" fontId="6" fillId="0" borderId="0" xfId="0" applyNumberFormat="1" applyFont="1" applyAlignment="1">
      <alignment horizontal="right"/>
    </xf>
    <xf numFmtId="0" fontId="6" fillId="0" borderId="0" xfId="0" applyFont="1" applyAlignment="1">
      <alignment horizontal="right"/>
    </xf>
    <xf numFmtId="166" fontId="6" fillId="0" borderId="0" xfId="0" applyNumberFormat="1" applyFont="1" applyAlignment="1">
      <alignment horizontal="right"/>
    </xf>
    <xf numFmtId="0" fontId="7" fillId="0" borderId="1" xfId="0" applyFont="1" applyBorder="1" applyAlignment="1">
      <alignment horizontal="right"/>
    </xf>
    <xf numFmtId="14" fontId="9" fillId="0" borderId="1" xfId="0" applyNumberFormat="1" applyFont="1" applyBorder="1" applyAlignment="1">
      <alignment horizontal="right"/>
    </xf>
    <xf numFmtId="0" fontId="15" fillId="0" borderId="0" xfId="0" applyFont="1"/>
    <xf numFmtId="0" fontId="0" fillId="0" borderId="0" xfId="0" applyProtection="1"/>
    <xf numFmtId="0" fontId="1" fillId="0" borderId="0" xfId="0" applyFont="1" applyProtection="1"/>
    <xf numFmtId="0" fontId="15" fillId="0" borderId="0" xfId="0" applyFont="1" applyAlignment="1" applyProtection="1">
      <alignment horizontal="justify" wrapText="1"/>
    </xf>
    <xf numFmtId="0" fontId="1" fillId="0" borderId="0" xfId="0" applyFont="1" applyAlignment="1" applyProtection="1">
      <alignment horizontal="justify" wrapText="1"/>
    </xf>
    <xf numFmtId="0" fontId="9" fillId="0" borderId="0" xfId="0" applyNumberFormat="1" applyFont="1" applyAlignment="1">
      <alignment horizontal="right"/>
    </xf>
    <xf numFmtId="14" fontId="9" fillId="2" borderId="1" xfId="0" applyNumberFormat="1" applyFont="1" applyFill="1" applyBorder="1" applyAlignment="1" applyProtection="1">
      <alignment horizontal="right"/>
      <protection locked="0"/>
    </xf>
    <xf numFmtId="0" fontId="9" fillId="2" borderId="1" xfId="0" applyFont="1" applyFill="1" applyBorder="1" applyAlignment="1" applyProtection="1">
      <alignment horizontal="left"/>
      <protection locked="0"/>
    </xf>
    <xf numFmtId="0" fontId="9" fillId="0" borderId="0" xfId="0" applyFont="1" applyAlignment="1" applyProtection="1">
      <alignment horizontal="right"/>
      <protection locked="0"/>
    </xf>
    <xf numFmtId="0" fontId="9" fillId="2" borderId="0" xfId="0" applyNumberFormat="1" applyFont="1" applyFill="1" applyAlignment="1" applyProtection="1">
      <alignment horizontal="right"/>
      <protection locked="0"/>
    </xf>
    <xf numFmtId="0" fontId="9" fillId="2" borderId="0" xfId="0" applyFont="1" applyFill="1" applyAlignment="1" applyProtection="1">
      <alignment horizontal="left"/>
      <protection locked="0"/>
    </xf>
    <xf numFmtId="0" fontId="9" fillId="2" borderId="0" xfId="0" applyFont="1" applyFill="1" applyAlignment="1" applyProtection="1">
      <alignment horizontal="right"/>
      <protection locked="0"/>
    </xf>
    <xf numFmtId="0" fontId="9" fillId="0" borderId="0" xfId="0" applyNumberFormat="1" applyFont="1" applyAlignment="1" applyProtection="1">
      <alignment horizontal="right"/>
    </xf>
    <xf numFmtId="0" fontId="9" fillId="2" borderId="1" xfId="0" applyFont="1" applyFill="1" applyBorder="1" applyAlignment="1" applyProtection="1">
      <alignment horizontal="right"/>
      <protection locked="0"/>
    </xf>
    <xf numFmtId="9" fontId="0" fillId="0" borderId="0" xfId="0" applyNumberFormat="1"/>
    <xf numFmtId="167" fontId="9" fillId="0" borderId="0" xfId="0" applyNumberFormat="1" applyFont="1" applyAlignment="1">
      <alignment horizontal="right"/>
    </xf>
    <xf numFmtId="14" fontId="9" fillId="2" borderId="0" xfId="0" applyNumberFormat="1" applyFont="1" applyFill="1" applyAlignment="1" applyProtection="1">
      <alignment horizontal="right"/>
      <protection locked="0"/>
    </xf>
    <xf numFmtId="0" fontId="20" fillId="0" borderId="0" xfId="0" applyFont="1" applyProtection="1"/>
    <xf numFmtId="168" fontId="0" fillId="5" borderId="0" xfId="0" applyNumberFormat="1" applyFill="1"/>
    <xf numFmtId="14" fontId="30" fillId="0" borderId="0" xfId="0" applyNumberFormat="1" applyFont="1" applyProtection="1"/>
    <xf numFmtId="0" fontId="22" fillId="0" borderId="0" xfId="0" applyFont="1" applyProtection="1"/>
    <xf numFmtId="0" fontId="21" fillId="5" borderId="0" xfId="0" applyFont="1" applyFill="1" applyProtection="1"/>
    <xf numFmtId="0" fontId="21" fillId="0" borderId="0" xfId="0" applyFont="1" applyProtection="1"/>
    <xf numFmtId="0" fontId="21" fillId="3" borderId="0" xfId="0" applyFont="1" applyFill="1" applyProtection="1">
      <protection locked="0"/>
    </xf>
    <xf numFmtId="0" fontId="22" fillId="0" borderId="0" xfId="0" applyFont="1" applyFill="1" applyBorder="1" applyProtection="1"/>
    <xf numFmtId="0" fontId="21" fillId="0" borderId="0" xfId="0" applyFont="1" applyBorder="1" applyProtection="1"/>
    <xf numFmtId="0" fontId="15" fillId="0" borderId="2" xfId="0" applyFont="1" applyBorder="1" applyProtection="1"/>
    <xf numFmtId="0" fontId="31" fillId="0" borderId="0" xfId="0" applyFont="1"/>
    <xf numFmtId="0" fontId="21" fillId="0" borderId="3" xfId="0" applyFont="1" applyBorder="1" applyProtection="1"/>
    <xf numFmtId="0" fontId="21" fillId="5" borderId="4" xfId="0" applyFont="1" applyFill="1" applyBorder="1" applyProtection="1">
      <protection locked="0"/>
    </xf>
    <xf numFmtId="0" fontId="21" fillId="0" borderId="4" xfId="0" applyFont="1" applyBorder="1" applyProtection="1"/>
    <xf numFmtId="0" fontId="21" fillId="5" borderId="5" xfId="0" applyFont="1" applyFill="1" applyBorder="1" applyProtection="1">
      <protection locked="0"/>
    </xf>
    <xf numFmtId="14" fontId="21" fillId="5" borderId="5" xfId="0" applyNumberFormat="1" applyFont="1" applyFill="1" applyBorder="1" applyProtection="1">
      <protection locked="0"/>
    </xf>
    <xf numFmtId="0" fontId="21" fillId="0" borderId="5" xfId="0" applyFont="1" applyBorder="1" applyProtection="1"/>
    <xf numFmtId="0" fontId="21" fillId="5" borderId="5" xfId="0" applyFont="1" applyFill="1" applyBorder="1" applyAlignment="1" applyProtection="1">
      <alignment horizontal="center"/>
      <protection locked="0"/>
    </xf>
    <xf numFmtId="0" fontId="9" fillId="0" borderId="6" xfId="0" applyFont="1" applyBorder="1" applyAlignment="1">
      <alignment horizontal="right"/>
    </xf>
    <xf numFmtId="0" fontId="9" fillId="0" borderId="7" xfId="0" applyFont="1" applyBorder="1" applyAlignment="1">
      <alignment horizontal="right"/>
    </xf>
    <xf numFmtId="0" fontId="9" fillId="2" borderId="0" xfId="0" applyFont="1" applyFill="1" applyBorder="1" applyAlignment="1" applyProtection="1">
      <alignment horizontal="left"/>
      <protection locked="0"/>
    </xf>
    <xf numFmtId="166" fontId="31" fillId="0" borderId="0" xfId="0" applyNumberFormat="1" applyFont="1"/>
    <xf numFmtId="0" fontId="15" fillId="0" borderId="0" xfId="0" applyFont="1" applyAlignment="1" applyProtection="1">
      <alignment horizontal="justify"/>
    </xf>
    <xf numFmtId="0" fontId="15" fillId="0" borderId="0" xfId="0" applyFont="1" applyBorder="1" applyAlignment="1">
      <alignment horizontal="right"/>
    </xf>
    <xf numFmtId="0" fontId="32" fillId="0" borderId="0" xfId="0" applyFont="1" applyProtection="1"/>
    <xf numFmtId="0" fontId="24" fillId="0" borderId="0" xfId="0" applyFont="1" applyProtection="1"/>
    <xf numFmtId="0" fontId="15" fillId="0" borderId="0" xfId="0" applyFont="1" applyAlignment="1">
      <alignment horizontal="right"/>
    </xf>
    <xf numFmtId="0" fontId="21" fillId="0" borderId="0" xfId="0" applyFont="1" applyAlignment="1" applyProtection="1">
      <alignment horizontal="justify" wrapText="1"/>
    </xf>
    <xf numFmtId="0" fontId="23" fillId="0" borderId="0" xfId="0" applyFont="1" applyProtection="1"/>
    <xf numFmtId="0" fontId="22" fillId="0" borderId="8" xfId="0" applyFont="1" applyBorder="1" applyProtection="1"/>
    <xf numFmtId="0" fontId="22" fillId="0" borderId="9" xfId="0" applyFont="1" applyFill="1" applyBorder="1" applyProtection="1"/>
    <xf numFmtId="0" fontId="0" fillId="5" borderId="0" xfId="0" applyFill="1" applyProtection="1"/>
    <xf numFmtId="166" fontId="0" fillId="0" borderId="0" xfId="0" applyNumberFormat="1"/>
    <xf numFmtId="14" fontId="21" fillId="5" borderId="10" xfId="0" applyNumberFormat="1" applyFont="1" applyFill="1" applyBorder="1" applyProtection="1">
      <protection locked="0"/>
    </xf>
    <xf numFmtId="0" fontId="23" fillId="0" borderId="2" xfId="0" applyFont="1" applyBorder="1" applyProtection="1"/>
    <xf numFmtId="0" fontId="21" fillId="0" borderId="2" xfId="0" applyFont="1" applyBorder="1" applyProtection="1"/>
    <xf numFmtId="0" fontId="15" fillId="0" borderId="0" xfId="0" applyFont="1" applyProtection="1"/>
    <xf numFmtId="0" fontId="21" fillId="5" borderId="11" xfId="0" applyFont="1" applyFill="1" applyBorder="1" applyAlignment="1" applyProtection="1">
      <protection locked="0"/>
    </xf>
    <xf numFmtId="0" fontId="21" fillId="5" borderId="0" xfId="0" applyFont="1" applyFill="1" applyProtection="1">
      <protection locked="0"/>
    </xf>
    <xf numFmtId="0" fontId="21" fillId="5" borderId="0" xfId="0" applyFont="1" applyFill="1" applyAlignment="1" applyProtection="1">
      <alignment horizontal="left"/>
      <protection locked="0"/>
    </xf>
    <xf numFmtId="0" fontId="3" fillId="5" borderId="0" xfId="1" applyFill="1" applyAlignment="1" applyProtection="1">
      <protection locked="0"/>
    </xf>
    <xf numFmtId="0" fontId="21" fillId="5" borderId="0" xfId="0" applyFont="1" applyFill="1" applyBorder="1" applyAlignment="1" applyProtection="1">
      <alignment horizontal="center"/>
      <protection locked="0"/>
    </xf>
    <xf numFmtId="0" fontId="21" fillId="5" borderId="3" xfId="0" applyFont="1" applyFill="1" applyBorder="1" applyProtection="1">
      <protection locked="0"/>
    </xf>
    <xf numFmtId="0" fontId="21" fillId="5" borderId="0" xfId="0" applyFont="1" applyFill="1" applyBorder="1" applyProtection="1">
      <protection locked="0"/>
    </xf>
    <xf numFmtId="0" fontId="17" fillId="0" borderId="0" xfId="0" applyFont="1" applyAlignment="1" applyProtection="1">
      <alignment horizontal="left"/>
    </xf>
    <xf numFmtId="0" fontId="21" fillId="0" borderId="0" xfId="0" applyFont="1" applyAlignment="1" applyProtection="1">
      <alignment horizontal="left"/>
    </xf>
    <xf numFmtId="0" fontId="18" fillId="0" borderId="0" xfId="0" applyFont="1" applyProtection="1"/>
    <xf numFmtId="0" fontId="19" fillId="0" borderId="0" xfId="0" applyFont="1" applyProtection="1"/>
    <xf numFmtId="0" fontId="21" fillId="0" borderId="0" xfId="0" applyFont="1" applyFill="1" applyProtection="1"/>
    <xf numFmtId="0" fontId="0" fillId="0" borderId="0" xfId="0" applyFill="1" applyProtection="1"/>
    <xf numFmtId="0" fontId="16" fillId="0" borderId="3" xfId="0" applyFont="1" applyBorder="1" applyProtection="1"/>
    <xf numFmtId="0" fontId="21" fillId="0" borderId="3" xfId="0" applyFont="1" applyFill="1" applyBorder="1" applyProtection="1"/>
    <xf numFmtId="0" fontId="22" fillId="0" borderId="4" xfId="0" applyFont="1" applyBorder="1" applyProtection="1"/>
    <xf numFmtId="0" fontId="22" fillId="0" borderId="10" xfId="0" applyFont="1" applyBorder="1" applyProtection="1"/>
    <xf numFmtId="0" fontId="29" fillId="0" borderId="0" xfId="0" applyFont="1" applyProtection="1"/>
    <xf numFmtId="0" fontId="22" fillId="0" borderId="5" xfId="0" applyFont="1" applyBorder="1" applyProtection="1"/>
    <xf numFmtId="0" fontId="21" fillId="0" borderId="5" xfId="0" applyFont="1" applyFill="1" applyBorder="1" applyProtection="1"/>
    <xf numFmtId="0" fontId="21" fillId="2" borderId="5" xfId="0" applyFont="1" applyFill="1" applyBorder="1" applyAlignment="1" applyProtection="1">
      <alignment horizontal="right"/>
    </xf>
    <xf numFmtId="0" fontId="23" fillId="0" borderId="5" xfId="0" applyFont="1" applyBorder="1" applyProtection="1"/>
    <xf numFmtId="0" fontId="22" fillId="0" borderId="3" xfId="0" applyFont="1" applyBorder="1" applyProtection="1"/>
    <xf numFmtId="0" fontId="9" fillId="2" borderId="3" xfId="0" applyFont="1" applyFill="1" applyBorder="1" applyAlignment="1" applyProtection="1">
      <alignment horizontal="left"/>
    </xf>
    <xf numFmtId="0" fontId="0" fillId="0" borderId="4" xfId="0" applyBorder="1" applyProtection="1"/>
    <xf numFmtId="0" fontId="0" fillId="0" borderId="0" xfId="0" applyBorder="1" applyProtection="1"/>
    <xf numFmtId="0" fontId="29" fillId="0" borderId="0" xfId="0" applyFont="1" applyFill="1" applyBorder="1" applyProtection="1"/>
    <xf numFmtId="0" fontId="25" fillId="2" borderId="0" xfId="0" applyFont="1" applyFill="1" applyBorder="1" applyAlignment="1" applyProtection="1">
      <alignment horizontal="right"/>
    </xf>
    <xf numFmtId="0" fontId="31" fillId="0" borderId="0" xfId="0" applyFont="1" applyProtection="1"/>
    <xf numFmtId="0" fontId="25" fillId="2" borderId="10" xfId="0" applyFont="1" applyFill="1" applyBorder="1" applyAlignment="1" applyProtection="1">
      <alignment horizontal="center"/>
    </xf>
    <xf numFmtId="0" fontId="5" fillId="0" borderId="12" xfId="0" applyFont="1" applyBorder="1" applyProtection="1"/>
    <xf numFmtId="0" fontId="21" fillId="0" borderId="13" xfId="0" applyFont="1" applyBorder="1" applyProtection="1"/>
    <xf numFmtId="0" fontId="21" fillId="0" borderId="14" xfId="0" applyFont="1" applyBorder="1" applyProtection="1"/>
    <xf numFmtId="0" fontId="28" fillId="0" borderId="0" xfId="0" applyFont="1" applyProtection="1"/>
    <xf numFmtId="0" fontId="24" fillId="0" borderId="0" xfId="0" quotePrefix="1" applyFont="1" applyProtection="1"/>
    <xf numFmtId="0" fontId="33" fillId="0" borderId="0" xfId="0" applyFont="1" applyProtection="1"/>
    <xf numFmtId="0" fontId="22" fillId="0" borderId="0" xfId="0" applyFont="1" applyAlignment="1" applyProtection="1">
      <alignment horizontal="center" vertical="center"/>
    </xf>
    <xf numFmtId="0" fontId="21" fillId="2" borderId="15" xfId="0" applyFont="1" applyFill="1" applyBorder="1" applyAlignment="1" applyProtection="1">
      <alignment horizontal="left"/>
    </xf>
    <xf numFmtId="0" fontId="22" fillId="0" borderId="0" xfId="0" applyFont="1" applyBorder="1" applyProtection="1"/>
    <xf numFmtId="0" fontId="21" fillId="0" borderId="16" xfId="0" applyFont="1" applyBorder="1" applyProtection="1"/>
    <xf numFmtId="0" fontId="22" fillId="0" borderId="11" xfId="0" applyFont="1" applyBorder="1" applyProtection="1"/>
    <xf numFmtId="0" fontId="21" fillId="2" borderId="11" xfId="0" applyFont="1" applyFill="1" applyBorder="1" applyAlignment="1" applyProtection="1"/>
    <xf numFmtId="0" fontId="21" fillId="2" borderId="11" xfId="0" applyFont="1" applyFill="1" applyBorder="1" applyAlignment="1" applyProtection="1">
      <alignment horizontal="left"/>
    </xf>
    <xf numFmtId="0" fontId="21" fillId="0" borderId="17" xfId="0" applyFont="1" applyBorder="1" applyAlignment="1" applyProtection="1">
      <alignment horizontal="right"/>
    </xf>
    <xf numFmtId="0" fontId="21" fillId="2" borderId="18" xfId="0" applyFont="1" applyFill="1" applyBorder="1" applyAlignment="1" applyProtection="1">
      <alignment horizontal="right"/>
    </xf>
    <xf numFmtId="0" fontId="21" fillId="0" borderId="11" xfId="0" applyFont="1" applyBorder="1" applyProtection="1"/>
    <xf numFmtId="0" fontId="0" fillId="0" borderId="13" xfId="0" applyBorder="1" applyProtection="1"/>
    <xf numFmtId="0" fontId="0" fillId="0" borderId="14" xfId="0" applyBorder="1" applyProtection="1"/>
    <xf numFmtId="0" fontId="21" fillId="5" borderId="11" xfId="0" applyFont="1" applyFill="1" applyBorder="1" applyProtection="1">
      <protection locked="0"/>
    </xf>
    <xf numFmtId="14" fontId="21" fillId="5" borderId="11" xfId="0" applyNumberFormat="1" applyFont="1" applyFill="1" applyBorder="1" applyProtection="1">
      <protection locked="0"/>
    </xf>
    <xf numFmtId="0" fontId="21" fillId="5" borderId="19" xfId="0" applyFont="1" applyFill="1" applyBorder="1" applyProtection="1">
      <protection locked="0"/>
    </xf>
    <xf numFmtId="0" fontId="21" fillId="5" borderId="20" xfId="0" applyFont="1" applyFill="1" applyBorder="1" applyProtection="1">
      <protection locked="0"/>
    </xf>
    <xf numFmtId="0" fontId="23" fillId="0" borderId="3" xfId="0" applyFont="1" applyBorder="1" applyProtection="1"/>
    <xf numFmtId="0" fontId="16" fillId="0" borderId="5" xfId="0" applyFont="1" applyBorder="1" applyProtection="1"/>
    <xf numFmtId="0" fontId="22" fillId="0" borderId="21" xfId="0" applyFont="1" applyBorder="1" applyProtection="1"/>
    <xf numFmtId="0" fontId="21" fillId="2" borderId="22" xfId="0" applyFont="1" applyFill="1" applyBorder="1" applyAlignment="1" applyProtection="1">
      <alignment horizontal="right"/>
    </xf>
    <xf numFmtId="0" fontId="21" fillId="2" borderId="23" xfId="0" applyFont="1" applyFill="1" applyBorder="1" applyAlignment="1" applyProtection="1">
      <alignment horizontal="right"/>
    </xf>
    <xf numFmtId="0" fontId="21" fillId="2" borderId="24" xfId="0" applyFont="1" applyFill="1" applyBorder="1" applyAlignment="1" applyProtection="1">
      <alignment horizontal="center"/>
    </xf>
    <xf numFmtId="0" fontId="17" fillId="0" borderId="0" xfId="0" applyFont="1" applyProtection="1"/>
    <xf numFmtId="0" fontId="17" fillId="0" borderId="0" xfId="0" applyFont="1"/>
    <xf numFmtId="14" fontId="0" fillId="0" borderId="0" xfId="0" applyNumberFormat="1" applyProtection="1"/>
    <xf numFmtId="0" fontId="34" fillId="0" borderId="0" xfId="0" applyFont="1" applyProtection="1"/>
    <xf numFmtId="0" fontId="0" fillId="0" borderId="0" xfId="0" applyAlignment="1" applyProtection="1"/>
    <xf numFmtId="164" fontId="15" fillId="0" borderId="0" xfId="0" applyNumberFormat="1" applyFont="1" applyProtection="1"/>
    <xf numFmtId="164" fontId="15" fillId="0" borderId="25" xfId="0" applyNumberFormat="1" applyFont="1" applyBorder="1" applyProtection="1"/>
    <xf numFmtId="0" fontId="1" fillId="4" borderId="26" xfId="0" applyFont="1" applyFill="1" applyBorder="1" applyProtection="1"/>
    <xf numFmtId="0" fontId="15" fillId="4" borderId="27" xfId="0" applyFont="1" applyFill="1" applyBorder="1" applyProtection="1"/>
    <xf numFmtId="164" fontId="1" fillId="4" borderId="27" xfId="0" applyNumberFormat="1" applyFont="1" applyFill="1" applyBorder="1" applyAlignment="1" applyProtection="1"/>
    <xf numFmtId="0" fontId="15" fillId="4" borderId="28" xfId="0" applyFont="1" applyFill="1" applyBorder="1" applyProtection="1"/>
    <xf numFmtId="164" fontId="1" fillId="4" borderId="27" xfId="0" applyNumberFormat="1" applyFont="1" applyFill="1" applyBorder="1" applyProtection="1"/>
    <xf numFmtId="0" fontId="1" fillId="4" borderId="29" xfId="0" applyFont="1" applyFill="1" applyBorder="1" applyAlignment="1" applyProtection="1">
      <alignment horizontal="right"/>
    </xf>
    <xf numFmtId="168" fontId="15" fillId="0" borderId="0" xfId="0" applyNumberFormat="1" applyFont="1" applyAlignment="1" applyProtection="1">
      <alignment horizontal="left"/>
    </xf>
    <xf numFmtId="0" fontId="12" fillId="0" borderId="0" xfId="0" applyFont="1" applyAlignment="1" applyProtection="1">
      <alignment horizontal="center"/>
    </xf>
    <xf numFmtId="164" fontId="0" fillId="0" borderId="0" xfId="0" applyNumberFormat="1" applyProtection="1"/>
    <xf numFmtId="0" fontId="16" fillId="0" borderId="0" xfId="0" applyFont="1" applyProtection="1"/>
    <xf numFmtId="4" fontId="0" fillId="0" borderId="0" xfId="0" applyNumberFormat="1" applyProtection="1"/>
    <xf numFmtId="0" fontId="21" fillId="0" borderId="0" xfId="0" quotePrefix="1" applyFont="1" applyBorder="1" applyProtection="1"/>
    <xf numFmtId="0" fontId="21" fillId="0" borderId="0" xfId="0" quotePrefix="1" applyFont="1" applyFill="1" applyBorder="1" applyProtection="1"/>
    <xf numFmtId="0" fontId="1" fillId="0" borderId="0" xfId="0" applyFont="1" applyAlignment="1" applyProtection="1">
      <alignment horizontal="right"/>
    </xf>
    <xf numFmtId="166" fontId="0" fillId="0" borderId="0" xfId="0" applyNumberFormat="1" applyProtection="1"/>
    <xf numFmtId="0" fontId="0" fillId="0" borderId="0" xfId="0" applyAlignment="1" applyProtection="1">
      <alignment horizontal="right"/>
    </xf>
    <xf numFmtId="0" fontId="13" fillId="0" borderId="0" xfId="0" applyFont="1" applyAlignment="1" applyProtection="1">
      <alignment horizontal="right"/>
    </xf>
    <xf numFmtId="0" fontId="5" fillId="0" borderId="0" xfId="0" applyFont="1" applyAlignment="1" applyProtection="1">
      <alignment horizontal="left"/>
    </xf>
    <xf numFmtId="0" fontId="28" fillId="0" borderId="0" xfId="0" quotePrefix="1" applyFont="1" applyProtection="1"/>
    <xf numFmtId="0" fontId="32" fillId="0" borderId="0" xfId="0" applyFont="1" applyBorder="1" applyProtection="1"/>
    <xf numFmtId="0" fontId="0" fillId="0" borderId="0" xfId="0" applyFont="1" applyProtection="1"/>
    <xf numFmtId="0" fontId="31" fillId="5" borderId="0" xfId="0" applyFont="1" applyFill="1"/>
    <xf numFmtId="14" fontId="21" fillId="2" borderId="30" xfId="0" applyNumberFormat="1" applyFont="1" applyFill="1" applyBorder="1" applyAlignment="1" applyProtection="1">
      <alignment horizontal="right"/>
    </xf>
    <xf numFmtId="14" fontId="21" fillId="2" borderId="3" xfId="0" applyNumberFormat="1" applyFont="1" applyFill="1" applyBorder="1" applyAlignment="1" applyProtection="1">
      <alignment horizontal="right"/>
    </xf>
    <xf numFmtId="14" fontId="21" fillId="2" borderId="31" xfId="0" applyNumberFormat="1" applyFont="1" applyFill="1" applyBorder="1" applyAlignment="1" applyProtection="1">
      <alignment horizontal="right"/>
    </xf>
    <xf numFmtId="14" fontId="21" fillId="2" borderId="32" xfId="0" applyNumberFormat="1" applyFont="1" applyFill="1" applyBorder="1" applyAlignment="1" applyProtection="1">
      <alignment horizontal="right"/>
    </xf>
    <xf numFmtId="0" fontId="21" fillId="2" borderId="4" xfId="0" applyFont="1" applyFill="1" applyBorder="1" applyAlignment="1" applyProtection="1">
      <alignment horizontal="left"/>
    </xf>
    <xf numFmtId="0" fontId="22" fillId="0" borderId="33" xfId="0" applyFont="1" applyBorder="1" applyProtection="1"/>
    <xf numFmtId="0" fontId="21" fillId="0" borderId="19" xfId="0" applyFont="1" applyBorder="1" applyProtection="1"/>
    <xf numFmtId="0" fontId="21" fillId="0" borderId="19" xfId="0" applyFont="1" applyFill="1" applyBorder="1" applyProtection="1"/>
    <xf numFmtId="0" fontId="21" fillId="2" borderId="34" xfId="0" applyFont="1" applyFill="1" applyBorder="1" applyAlignment="1" applyProtection="1">
      <alignment horizontal="left"/>
    </xf>
    <xf numFmtId="0" fontId="21" fillId="2" borderId="11" xfId="0" applyFont="1" applyFill="1" applyBorder="1" applyAlignment="1" applyProtection="1">
      <alignment horizontal="right"/>
    </xf>
    <xf numFmtId="0" fontId="35" fillId="0" borderId="0" xfId="0" applyFont="1"/>
    <xf numFmtId="0" fontId="0" fillId="0" borderId="0" xfId="0" applyAlignment="1">
      <alignment horizontal="justify" wrapText="1"/>
    </xf>
    <xf numFmtId="168" fontId="31" fillId="6" borderId="0" xfId="0" applyNumberFormat="1" applyFont="1" applyFill="1" applyProtection="1">
      <protection locked="0"/>
    </xf>
    <xf numFmtId="168" fontId="0" fillId="6" borderId="0" xfId="0" applyNumberFormat="1" applyFill="1" applyProtection="1">
      <protection locked="0"/>
    </xf>
    <xf numFmtId="0" fontId="15" fillId="5" borderId="0" xfId="0" applyFont="1" applyFill="1"/>
    <xf numFmtId="0" fontId="0" fillId="5" borderId="0" xfId="0" applyFill="1"/>
    <xf numFmtId="0" fontId="27" fillId="0" borderId="0" xfId="0" applyFont="1" applyAlignment="1" applyProtection="1">
      <alignment horizontal="left"/>
    </xf>
    <xf numFmtId="0" fontId="26" fillId="0" borderId="0" xfId="0" applyFont="1" applyAlignment="1" applyProtection="1">
      <alignment horizontal="left"/>
    </xf>
    <xf numFmtId="0" fontId="21" fillId="5" borderId="35" xfId="0" applyFont="1" applyFill="1" applyBorder="1" applyAlignment="1" applyProtection="1">
      <alignment wrapText="1"/>
      <protection locked="0"/>
    </xf>
    <xf numFmtId="0" fontId="0" fillId="0" borderId="0" xfId="0" applyAlignment="1">
      <alignment wrapText="1"/>
    </xf>
    <xf numFmtId="0" fontId="0" fillId="0" borderId="36" xfId="0" applyBorder="1" applyAlignment="1">
      <alignment wrapText="1"/>
    </xf>
    <xf numFmtId="0" fontId="0" fillId="0" borderId="35" xfId="0" applyBorder="1" applyAlignment="1">
      <alignment wrapText="1"/>
    </xf>
    <xf numFmtId="0" fontId="0" fillId="0" borderId="37" xfId="0" applyBorder="1" applyAlignment="1">
      <alignment wrapText="1"/>
    </xf>
    <xf numFmtId="0" fontId="0" fillId="0" borderId="38" xfId="0" applyBorder="1" applyAlignment="1">
      <alignment wrapText="1"/>
    </xf>
    <xf numFmtId="0" fontId="0" fillId="0" borderId="39" xfId="0" applyBorder="1" applyAlignment="1">
      <alignment wrapText="1"/>
    </xf>
    <xf numFmtId="0" fontId="21" fillId="0" borderId="0" xfId="0" applyFont="1" applyAlignment="1" applyProtection="1">
      <alignment wrapText="1"/>
    </xf>
    <xf numFmtId="0" fontId="0" fillId="5" borderId="35" xfId="0" applyFill="1" applyBorder="1" applyAlignment="1" applyProtection="1">
      <alignment wrapText="1"/>
      <protection locked="0"/>
    </xf>
    <xf numFmtId="0" fontId="15" fillId="5" borderId="35" xfId="0" applyFont="1" applyFill="1" applyBorder="1" applyAlignment="1" applyProtection="1">
      <alignment wrapText="1"/>
      <protection locked="0"/>
    </xf>
    <xf numFmtId="0" fontId="21" fillId="0" borderId="26" xfId="0" applyFont="1" applyBorder="1" applyAlignment="1" applyProtection="1">
      <alignment horizontal="center"/>
    </xf>
    <xf numFmtId="0" fontId="21" fillId="0" borderId="27" xfId="0" applyFont="1" applyBorder="1" applyAlignment="1" applyProtection="1">
      <alignment horizontal="center"/>
    </xf>
    <xf numFmtId="0" fontId="21" fillId="0" borderId="20" xfId="0" applyFont="1" applyBorder="1" applyAlignment="1" applyProtection="1">
      <alignment horizontal="center"/>
    </xf>
    <xf numFmtId="0" fontId="21" fillId="0" borderId="27" xfId="0" applyFont="1" applyBorder="1" applyAlignment="1" applyProtection="1"/>
    <xf numFmtId="0" fontId="21" fillId="0" borderId="20" xfId="0" applyFont="1" applyBorder="1" applyAlignment="1" applyProtection="1"/>
    <xf numFmtId="0" fontId="22" fillId="0" borderId="40" xfId="0" applyFont="1" applyBorder="1" applyAlignment="1" applyProtection="1">
      <alignment horizontal="center" vertical="center"/>
    </xf>
    <xf numFmtId="0" fontId="22" fillId="0" borderId="41" xfId="0" applyFont="1" applyBorder="1" applyAlignment="1" applyProtection="1">
      <alignment horizontal="center" vertical="center"/>
    </xf>
    <xf numFmtId="0" fontId="22" fillId="0" borderId="28" xfId="0" applyFont="1" applyBorder="1" applyAlignment="1" applyProtection="1">
      <alignment horizontal="center" vertical="center"/>
    </xf>
    <xf numFmtId="0" fontId="22" fillId="0" borderId="26" xfId="0" applyFont="1" applyBorder="1" applyAlignment="1" applyProtection="1">
      <alignment horizontal="right"/>
    </xf>
    <xf numFmtId="0" fontId="22" fillId="0" borderId="27" xfId="0" applyFont="1" applyBorder="1" applyAlignment="1" applyProtection="1">
      <alignment horizontal="right"/>
    </xf>
    <xf numFmtId="0" fontId="22" fillId="0" borderId="26" xfId="0" applyFont="1" applyBorder="1" applyAlignment="1" applyProtection="1">
      <alignment horizontal="center"/>
    </xf>
    <xf numFmtId="0" fontId="21" fillId="0" borderId="42" xfId="0" applyFont="1" applyBorder="1" applyAlignment="1" applyProtection="1">
      <alignment horizontal="right"/>
    </xf>
    <xf numFmtId="0" fontId="21" fillId="0" borderId="43" xfId="0" applyFont="1" applyBorder="1" applyAlignment="1" applyProtection="1"/>
    <xf numFmtId="168" fontId="0" fillId="0" borderId="0" xfId="0" applyNumberFormat="1" applyAlignment="1" applyProtection="1">
      <alignment horizontal="left"/>
    </xf>
    <xf numFmtId="0" fontId="0" fillId="0" borderId="0" xfId="0" applyAlignment="1" applyProtection="1">
      <alignment horizontal="left"/>
    </xf>
    <xf numFmtId="0" fontId="1" fillId="0" borderId="0" xfId="0" applyFont="1" applyAlignment="1" applyProtection="1">
      <alignment horizontal="center"/>
    </xf>
    <xf numFmtId="0" fontId="0" fillId="0" borderId="0" xfId="0" applyAlignment="1" applyProtection="1">
      <alignment horizontal="center"/>
    </xf>
    <xf numFmtId="0" fontId="15" fillId="0" borderId="0" xfId="0" applyFont="1" applyAlignment="1" applyProtection="1">
      <alignment wrapText="1"/>
    </xf>
    <xf numFmtId="0" fontId="0" fillId="0" borderId="0" xfId="0" applyAlignment="1" applyProtection="1">
      <alignment wrapText="1"/>
    </xf>
    <xf numFmtId="0" fontId="15" fillId="0" borderId="0" xfId="0" applyFont="1" applyAlignment="1" applyProtection="1">
      <alignment horizontal="justify" wrapText="1"/>
    </xf>
    <xf numFmtId="0" fontId="0" fillId="0" borderId="0" xfId="0" applyAlignment="1" applyProtection="1">
      <alignment horizontal="justify" wrapText="1"/>
    </xf>
    <xf numFmtId="0" fontId="0" fillId="0" borderId="0" xfId="0" applyAlignment="1">
      <alignment horizontal="justify" wrapText="1"/>
    </xf>
    <xf numFmtId="0" fontId="1" fillId="0" borderId="0" xfId="0" applyFont="1" applyAlignment="1" applyProtection="1">
      <alignment horizontal="center" vertical="top"/>
    </xf>
    <xf numFmtId="0" fontId="0" fillId="0" borderId="0" xfId="0" applyAlignment="1" applyProtection="1">
      <alignment horizontal="center" vertical="top"/>
    </xf>
    <xf numFmtId="0" fontId="15" fillId="0" borderId="0" xfId="0" applyFont="1" applyAlignment="1" applyProtection="1"/>
    <xf numFmtId="0" fontId="0" fillId="0" borderId="0" xfId="0" applyAlignment="1" applyProtection="1"/>
    <xf numFmtId="0" fontId="11" fillId="0" borderId="0" xfId="0" applyFont="1" applyAlignment="1" applyProtection="1">
      <alignment horizontal="center"/>
    </xf>
    <xf numFmtId="0" fontId="13" fillId="0" borderId="0" xfId="0" applyFont="1" applyAlignment="1" applyProtection="1">
      <alignment horizontal="center"/>
    </xf>
    <xf numFmtId="0" fontId="14" fillId="0" borderId="0" xfId="0" applyFont="1" applyAlignment="1" applyProtection="1"/>
    <xf numFmtId="0" fontId="12" fillId="0" borderId="0" xfId="0" applyFont="1" applyAlignment="1" applyProtection="1">
      <alignment horizontal="center"/>
    </xf>
    <xf numFmtId="0" fontId="15" fillId="0" borderId="0" xfId="0" applyNumberFormat="1" applyFont="1" applyAlignment="1" applyProtection="1">
      <alignment horizontal="justify" wrapText="1"/>
    </xf>
    <xf numFmtId="0" fontId="15" fillId="0" borderId="0" xfId="0" applyFont="1" applyAlignment="1" applyProtection="1">
      <alignment horizontal="center"/>
    </xf>
    <xf numFmtId="168" fontId="15" fillId="0" borderId="0" xfId="0" applyNumberFormat="1" applyFont="1" applyAlignment="1" applyProtection="1">
      <alignment horizontal="left"/>
    </xf>
    <xf numFmtId="0" fontId="15" fillId="3" borderId="0" xfId="0" applyFont="1" applyFill="1" applyAlignment="1" applyProtection="1">
      <alignment horizontal="justify"/>
      <protection locked="0"/>
    </xf>
    <xf numFmtId="0" fontId="15" fillId="5" borderId="0" xfId="0" applyFont="1" applyFill="1" applyAlignment="1">
      <alignment wrapText="1"/>
    </xf>
  </cellXfs>
  <cellStyles count="2">
    <cellStyle name="Hyperlink" xfId="1" builtinId="8"/>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85725</xdr:rowOff>
    </xdr:from>
    <xdr:to>
      <xdr:col>5</xdr:col>
      <xdr:colOff>100013</xdr:colOff>
      <xdr:row>49</xdr:row>
      <xdr:rowOff>76200</xdr:rowOff>
    </xdr:to>
    <xdr:pic>
      <xdr:nvPicPr>
        <xdr:cNvPr id="1102" name="Picture 2" descr="Save0003">
          <a:extLst>
            <a:ext uri="{FF2B5EF4-FFF2-40B4-BE49-F238E27FC236}">
              <a16:creationId xmlns:a16="http://schemas.microsoft.com/office/drawing/2014/main" id="{00000000-0008-0000-0500-00004E040000}"/>
            </a:ext>
          </a:extLst>
        </xdr:cNvPr>
        <xdr:cNvPicPr>
          <a:picLocks noChangeAspect="1" noChangeArrowheads="1"/>
        </xdr:cNvPicPr>
      </xdr:nvPicPr>
      <xdr:blipFill>
        <a:blip xmlns:r="http://schemas.openxmlformats.org/officeDocument/2006/relationships" r:embed="rId1">
          <a:lum contrast="20000"/>
          <a:extLst>
            <a:ext uri="{28A0092B-C50C-407E-A947-70E740481C1C}">
              <a14:useLocalDpi xmlns:a14="http://schemas.microsoft.com/office/drawing/2010/main" val="0"/>
            </a:ext>
          </a:extLst>
        </a:blip>
        <a:srcRect/>
        <a:stretch>
          <a:fillRect/>
        </a:stretch>
      </xdr:blipFill>
      <xdr:spPr bwMode="auto">
        <a:xfrm>
          <a:off x="0" y="8186738"/>
          <a:ext cx="2938463"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pbasuper.com.au?subject=Actuarial%20Certificate%20Request%20201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106"/>
  <sheetViews>
    <sheetView tabSelected="1" zoomScaleNormal="100" workbookViewId="0">
      <selection activeCell="B12" sqref="B12"/>
    </sheetView>
  </sheetViews>
  <sheetFormatPr defaultColWidth="9.1328125" defaultRowHeight="13.15" x14ac:dyDescent="0.4"/>
  <cols>
    <col min="1" max="1" width="47" style="27" customWidth="1"/>
    <col min="2" max="2" width="17.3984375" style="26" customWidth="1"/>
    <col min="3" max="3" width="15.86328125" style="26" customWidth="1"/>
    <col min="4" max="4" width="15.73046875" style="26" customWidth="1"/>
    <col min="5" max="5" width="14.86328125" style="26" customWidth="1"/>
    <col min="6" max="6" width="15.3984375" style="26" customWidth="1"/>
    <col min="7" max="7" width="15.59765625" style="26" customWidth="1"/>
    <col min="8" max="8" width="15.3984375" style="26" customWidth="1"/>
    <col min="9" max="9" width="15.59765625" style="26" customWidth="1"/>
    <col min="10" max="16384" width="9.1328125" style="26"/>
  </cols>
  <sheetData>
    <row r="1" spans="1:9" ht="25.15" x14ac:dyDescent="0.7">
      <c r="A1" s="182" t="s">
        <v>90</v>
      </c>
      <c r="B1" s="182"/>
      <c r="C1" s="183"/>
      <c r="D1" s="183"/>
      <c r="E1" s="183"/>
      <c r="F1" s="183"/>
      <c r="G1" s="183"/>
      <c r="H1" s="183"/>
      <c r="I1" s="183"/>
    </row>
    <row r="2" spans="1:9" ht="15" x14ac:dyDescent="0.4">
      <c r="A2" s="86" t="s">
        <v>333</v>
      </c>
      <c r="C2" s="27"/>
    </row>
    <row r="3" spans="1:9" s="42" customFormat="1" ht="11.65" x14ac:dyDescent="0.35">
      <c r="A3" s="87" t="s">
        <v>283</v>
      </c>
    </row>
    <row r="4" spans="1:9" s="42" customFormat="1" ht="11.65" x14ac:dyDescent="0.35">
      <c r="A4" s="47" t="s">
        <v>92</v>
      </c>
    </row>
    <row r="5" spans="1:9" ht="12.75" x14ac:dyDescent="0.35">
      <c r="A5" s="78"/>
      <c r="B5" s="78"/>
    </row>
    <row r="6" spans="1:9" ht="15" x14ac:dyDescent="0.4">
      <c r="A6" s="137" t="s">
        <v>91</v>
      </c>
      <c r="B6" s="88"/>
      <c r="C6" s="89"/>
      <c r="D6" s="89"/>
      <c r="E6" s="89"/>
      <c r="F6" s="89"/>
    </row>
    <row r="7" spans="1:9" ht="13.5" x14ac:dyDescent="0.35">
      <c r="A7" s="47" t="s">
        <v>290</v>
      </c>
      <c r="B7" s="89"/>
      <c r="C7" s="89"/>
      <c r="D7" s="89"/>
      <c r="E7" s="89"/>
      <c r="F7" s="89"/>
    </row>
    <row r="8" spans="1:9" ht="12.75" x14ac:dyDescent="0.35">
      <c r="A8" s="191" t="s">
        <v>269</v>
      </c>
      <c r="B8" s="191"/>
      <c r="C8" s="191"/>
      <c r="D8" s="191"/>
      <c r="E8" s="191"/>
      <c r="F8" s="191"/>
      <c r="G8" s="185"/>
    </row>
    <row r="9" spans="1:9" ht="12.75" customHeight="1" x14ac:dyDescent="0.35">
      <c r="A9" s="191" t="s">
        <v>293</v>
      </c>
      <c r="B9" s="191"/>
      <c r="C9" s="191"/>
      <c r="D9" s="191"/>
      <c r="E9" s="191"/>
      <c r="F9" s="191"/>
      <c r="G9" s="185"/>
    </row>
    <row r="11" spans="1:9" ht="15" x14ac:dyDescent="0.4">
      <c r="A11" s="137" t="s">
        <v>263</v>
      </c>
    </row>
    <row r="12" spans="1:9" ht="12.75" x14ac:dyDescent="0.35">
      <c r="A12" s="45" t="s">
        <v>93</v>
      </c>
      <c r="B12" s="80"/>
      <c r="C12" s="46"/>
      <c r="D12" s="46"/>
    </row>
    <row r="13" spans="1:9" ht="12.75" x14ac:dyDescent="0.35">
      <c r="A13" s="45" t="s">
        <v>63</v>
      </c>
      <c r="B13" s="80"/>
      <c r="C13" s="46"/>
      <c r="D13" s="46"/>
    </row>
    <row r="14" spans="1:9" ht="12.75" x14ac:dyDescent="0.35">
      <c r="A14" s="45" t="s">
        <v>64</v>
      </c>
      <c r="B14" s="80"/>
      <c r="C14" s="46"/>
      <c r="D14" s="46"/>
    </row>
    <row r="15" spans="1:9" ht="12.75" x14ac:dyDescent="0.35">
      <c r="A15" s="45" t="s">
        <v>65</v>
      </c>
      <c r="B15" s="80"/>
      <c r="C15" s="46"/>
      <c r="D15" s="46"/>
    </row>
    <row r="16" spans="1:9" ht="12.75" x14ac:dyDescent="0.35">
      <c r="A16" s="45" t="s">
        <v>198</v>
      </c>
      <c r="B16" s="80"/>
    </row>
    <row r="17" spans="1:9" x14ac:dyDescent="0.4">
      <c r="A17" s="27" t="s">
        <v>66</v>
      </c>
      <c r="B17" s="81"/>
      <c r="C17" s="27"/>
    </row>
    <row r="18" spans="1:9" ht="12.75" x14ac:dyDescent="0.35">
      <c r="A18" s="45" t="s">
        <v>255</v>
      </c>
      <c r="B18" s="82"/>
      <c r="C18" s="73"/>
      <c r="D18" s="73"/>
    </row>
    <row r="20" spans="1:9" ht="15" x14ac:dyDescent="0.4">
      <c r="A20" s="137" t="s">
        <v>94</v>
      </c>
    </row>
    <row r="21" spans="1:9" ht="12.75" x14ac:dyDescent="0.35">
      <c r="A21" s="45" t="s">
        <v>0</v>
      </c>
      <c r="B21" s="80"/>
      <c r="C21" s="46"/>
      <c r="D21" s="46"/>
      <c r="E21" s="47"/>
      <c r="F21" s="47"/>
      <c r="G21" s="47"/>
    </row>
    <row r="22" spans="1:9" ht="12.75" x14ac:dyDescent="0.35">
      <c r="A22" s="45" t="s">
        <v>101</v>
      </c>
      <c r="B22" s="48"/>
      <c r="C22" s="46"/>
      <c r="D22" s="66" t="str">
        <f>IF($B$22="",IF(B24="","Please show names of individual trustees if not a Corporate Trustee",""),"")</f>
        <v>Please show names of individual trustees if not a Corporate Trustee</v>
      </c>
      <c r="E22" s="47"/>
      <c r="F22" s="47"/>
      <c r="G22" s="47"/>
    </row>
    <row r="23" spans="1:9" ht="12.75" x14ac:dyDescent="0.35">
      <c r="A23" s="49" t="s">
        <v>256</v>
      </c>
      <c r="D23" s="47"/>
      <c r="E23" s="47"/>
      <c r="F23" s="47"/>
      <c r="G23" s="47"/>
    </row>
    <row r="24" spans="1:9" ht="12.75" x14ac:dyDescent="0.35">
      <c r="A24" s="49" t="s">
        <v>84</v>
      </c>
      <c r="B24" s="85"/>
      <c r="C24" s="46"/>
      <c r="D24" s="66" t="str">
        <f>IF($B$22&lt;&gt;"",IF(B24&lt;&gt;"","Warning do not show name of trustee as the trustee if a corporate trustee",""),"")</f>
        <v/>
      </c>
      <c r="E24" s="47"/>
      <c r="F24" s="47"/>
      <c r="G24" s="47"/>
    </row>
    <row r="25" spans="1:9" ht="12.75" x14ac:dyDescent="0.35">
      <c r="A25" s="49" t="s">
        <v>85</v>
      </c>
      <c r="B25" s="85"/>
      <c r="C25" s="46"/>
      <c r="D25" s="66" t="str">
        <f>IF($B$22&lt;&gt;"",IF(B25&lt;&gt;"","Warning do not show name of trustee as the trustee if a corporate trustee",""),"")</f>
        <v/>
      </c>
      <c r="E25" s="47"/>
      <c r="F25" s="47"/>
      <c r="G25" s="47"/>
    </row>
    <row r="26" spans="1:9" ht="12.75" x14ac:dyDescent="0.35">
      <c r="A26" s="49" t="s">
        <v>86</v>
      </c>
      <c r="B26" s="85"/>
      <c r="C26" s="46"/>
      <c r="D26" s="66" t="str">
        <f>IF($B$22&lt;&gt;"",IF(B26&lt;&gt;"","Warning do not show name of trustee as the trustee if a corporate trustee",""),"")</f>
        <v/>
      </c>
      <c r="E26" s="47"/>
      <c r="F26" s="47"/>
      <c r="G26" s="47"/>
    </row>
    <row r="27" spans="1:9" ht="12.75" x14ac:dyDescent="0.35">
      <c r="A27" s="49" t="s">
        <v>87</v>
      </c>
      <c r="B27" s="85"/>
      <c r="C27" s="46"/>
      <c r="D27" s="66" t="str">
        <f>IF($B$22&lt;&gt;"",IF(B27&lt;&gt;"","Warning do not show name of trustee as the trustee if a corporate trustee",""),"")</f>
        <v/>
      </c>
      <c r="E27" s="47"/>
      <c r="F27" s="47"/>
      <c r="G27" s="47"/>
    </row>
    <row r="28" spans="1:9" ht="12.75" x14ac:dyDescent="0.35">
      <c r="A28" s="47"/>
      <c r="B28" s="66" t="str">
        <f>IF(B22&lt;&gt;"","",IF(B24&lt;&gt;"",IF(B25&lt;&gt;"","","Must be a 2nd trustee"),""))</f>
        <v/>
      </c>
      <c r="C28" s="47"/>
      <c r="D28" s="90"/>
      <c r="E28" s="90"/>
      <c r="F28" s="90"/>
      <c r="G28" s="90"/>
      <c r="H28" s="91"/>
      <c r="I28" s="91"/>
    </row>
    <row r="29" spans="1:9" ht="12.75" x14ac:dyDescent="0.35">
      <c r="A29" s="47" t="s">
        <v>334</v>
      </c>
      <c r="B29" s="48"/>
      <c r="C29" s="47"/>
      <c r="D29" s="90"/>
      <c r="E29" s="90"/>
      <c r="F29" s="90"/>
      <c r="G29" s="90"/>
      <c r="H29" s="91"/>
      <c r="I29" s="91"/>
    </row>
    <row r="30" spans="1:9" ht="12.75" x14ac:dyDescent="0.35">
      <c r="A30" s="47" t="s">
        <v>233</v>
      </c>
      <c r="B30" s="83" t="s">
        <v>114</v>
      </c>
      <c r="C30" s="47"/>
      <c r="D30" s="90"/>
      <c r="E30" s="90"/>
      <c r="F30" s="90"/>
      <c r="G30" s="90"/>
      <c r="H30" s="91"/>
      <c r="I30" s="91"/>
    </row>
    <row r="31" spans="1:9" ht="12.75" x14ac:dyDescent="0.35">
      <c r="A31" s="47" t="s">
        <v>193</v>
      </c>
      <c r="B31" s="83" t="s">
        <v>114</v>
      </c>
      <c r="C31" s="66" t="str">
        <f>Check!B25</f>
        <v/>
      </c>
      <c r="D31" s="90"/>
      <c r="E31" s="90"/>
      <c r="F31" s="90"/>
      <c r="G31" s="90"/>
      <c r="H31" s="91"/>
      <c r="I31" s="91"/>
    </row>
    <row r="32" spans="1:9" ht="12.75" x14ac:dyDescent="0.35">
      <c r="A32" s="47" t="s">
        <v>335</v>
      </c>
      <c r="B32" s="83" t="s">
        <v>114</v>
      </c>
      <c r="C32" s="66" t="str">
        <f>Check!B50</f>
        <v/>
      </c>
      <c r="D32" s="90"/>
      <c r="E32" s="90"/>
      <c r="F32" s="90"/>
      <c r="G32" s="90"/>
      <c r="H32" s="91"/>
      <c r="I32" s="91"/>
    </row>
    <row r="33" spans="1:9" ht="12.75" x14ac:dyDescent="0.35">
      <c r="A33" s="47"/>
      <c r="B33" s="47"/>
      <c r="C33" s="66" t="str">
        <f>Check!B51</f>
        <v/>
      </c>
      <c r="D33" s="90"/>
      <c r="E33" s="90"/>
      <c r="F33" s="90"/>
      <c r="G33" s="90"/>
      <c r="H33" s="91"/>
      <c r="I33" s="91"/>
    </row>
    <row r="34" spans="1:9" ht="15" x14ac:dyDescent="0.4">
      <c r="A34" s="137" t="s">
        <v>276</v>
      </c>
      <c r="F34" s="90"/>
      <c r="G34" s="90"/>
      <c r="H34" s="91"/>
      <c r="I34" s="91"/>
    </row>
    <row r="35" spans="1:9" thickBot="1" x14ac:dyDescent="0.4">
      <c r="A35" s="70" t="s">
        <v>234</v>
      </c>
      <c r="F35" s="90"/>
      <c r="G35" s="90"/>
      <c r="H35" s="91"/>
      <c r="I35" s="91"/>
    </row>
    <row r="36" spans="1:9" ht="12.75" x14ac:dyDescent="0.35">
      <c r="A36" s="92" t="s">
        <v>81</v>
      </c>
      <c r="B36" s="53" t="s">
        <v>77</v>
      </c>
      <c r="C36" s="53" t="s">
        <v>78</v>
      </c>
      <c r="D36" s="93" t="s">
        <v>79</v>
      </c>
      <c r="E36" s="93" t="s">
        <v>80</v>
      </c>
      <c r="F36" s="90"/>
      <c r="G36" s="90"/>
      <c r="H36" s="91"/>
      <c r="I36" s="91"/>
    </row>
    <row r="37" spans="1:9" thickBot="1" x14ac:dyDescent="0.4">
      <c r="A37" s="94" t="s">
        <v>275</v>
      </c>
      <c r="B37" s="54"/>
      <c r="C37" s="85"/>
      <c r="D37" s="54"/>
      <c r="E37" s="54"/>
      <c r="F37" s="90"/>
      <c r="G37" s="90"/>
      <c r="H37" s="91"/>
      <c r="I37" s="91"/>
    </row>
    <row r="38" spans="1:9" thickBot="1" x14ac:dyDescent="0.4">
      <c r="A38" s="95" t="s">
        <v>1</v>
      </c>
      <c r="B38" s="75"/>
      <c r="C38" s="75"/>
      <c r="D38" s="75"/>
      <c r="E38" s="75"/>
      <c r="F38" s="90"/>
      <c r="G38" s="90"/>
      <c r="H38" s="91"/>
      <c r="I38" s="91"/>
    </row>
    <row r="39" spans="1:9" ht="12.75" x14ac:dyDescent="0.35">
      <c r="A39" s="51"/>
      <c r="B39" s="47" t="str">
        <f>IF(B24&lt;&gt;"","All Members must be trustees - special rules for single member funds.","")</f>
        <v/>
      </c>
      <c r="C39" s="47"/>
      <c r="D39" s="90"/>
      <c r="E39" s="90"/>
      <c r="F39" s="90"/>
      <c r="G39" s="90"/>
      <c r="H39" s="91"/>
      <c r="I39" s="91"/>
    </row>
    <row r="40" spans="1:9" s="47" customFormat="1" ht="11.65" x14ac:dyDescent="0.35">
      <c r="A40" s="96" t="s">
        <v>284</v>
      </c>
      <c r="D40" s="90"/>
      <c r="E40" s="90"/>
      <c r="F40" s="90"/>
      <c r="G40" s="90"/>
      <c r="H40" s="90"/>
      <c r="I40" s="90"/>
    </row>
    <row r="41" spans="1:9" s="47" customFormat="1" ht="11.65" x14ac:dyDescent="0.35">
      <c r="A41" s="77"/>
      <c r="D41" s="90"/>
      <c r="E41" s="90"/>
      <c r="F41" s="90"/>
      <c r="G41" s="90"/>
      <c r="H41" s="90"/>
      <c r="I41" s="90"/>
    </row>
    <row r="42" spans="1:9" ht="15" x14ac:dyDescent="0.4">
      <c r="A42" s="137" t="s">
        <v>278</v>
      </c>
      <c r="B42" s="47"/>
      <c r="C42" s="47"/>
      <c r="D42" s="90"/>
      <c r="E42" s="90"/>
      <c r="F42" s="90"/>
      <c r="G42" s="90"/>
      <c r="H42" s="91"/>
      <c r="I42" s="91"/>
    </row>
    <row r="43" spans="1:9" thickBot="1" x14ac:dyDescent="0.4">
      <c r="A43" s="70" t="s">
        <v>260</v>
      </c>
      <c r="B43" s="47"/>
      <c r="C43" s="47"/>
      <c r="D43" s="90"/>
      <c r="E43" s="90"/>
      <c r="F43" s="90"/>
      <c r="G43" s="90"/>
      <c r="H43" s="91"/>
      <c r="I43" s="91"/>
    </row>
    <row r="44" spans="1:9" ht="12.75" x14ac:dyDescent="0.35">
      <c r="A44" s="53" t="s">
        <v>81</v>
      </c>
      <c r="B44" s="53" t="s">
        <v>77</v>
      </c>
      <c r="C44" s="53" t="s">
        <v>78</v>
      </c>
      <c r="D44" s="93" t="s">
        <v>79</v>
      </c>
      <c r="E44" s="93" t="s">
        <v>80</v>
      </c>
      <c r="F44" s="53"/>
      <c r="G44" s="93" t="s">
        <v>89</v>
      </c>
      <c r="H44" s="91"/>
      <c r="I44" s="91"/>
    </row>
    <row r="45" spans="1:9" ht="12.75" x14ac:dyDescent="0.35">
      <c r="A45" s="97" t="s">
        <v>72</v>
      </c>
      <c r="B45" s="116" t="str">
        <f>IF(B37&lt;&gt;"",B37,"")</f>
        <v/>
      </c>
      <c r="C45" s="116" t="str">
        <f>IF(C37&lt;&gt;"",C37,"")</f>
        <v/>
      </c>
      <c r="D45" s="116" t="str">
        <f>IF(D37&lt;&gt;"",D37,"")</f>
        <v/>
      </c>
      <c r="E45" s="116" t="str">
        <f>IF(E37&lt;&gt;"",E37,"")</f>
        <v/>
      </c>
      <c r="F45" s="58"/>
      <c r="G45" s="98"/>
      <c r="H45" s="91"/>
      <c r="I45" s="91"/>
    </row>
    <row r="46" spans="1:9" thickBot="1" x14ac:dyDescent="0.4">
      <c r="A46" s="94" t="s">
        <v>70</v>
      </c>
      <c r="B46" s="55"/>
      <c r="C46" s="55"/>
      <c r="D46" s="55"/>
      <c r="E46" s="55"/>
      <c r="F46" s="55"/>
      <c r="G46" s="55"/>
    </row>
    <row r="47" spans="1:9" ht="12.75" x14ac:dyDescent="0.35">
      <c r="A47" s="58" t="s">
        <v>336</v>
      </c>
      <c r="B47" s="56"/>
      <c r="C47" s="56"/>
      <c r="D47" s="56"/>
      <c r="E47" s="56"/>
      <c r="F47" s="58"/>
      <c r="G47" s="99">
        <f>ROUND(SUM(B47:E47),2)</f>
        <v>0</v>
      </c>
    </row>
    <row r="48" spans="1:9" ht="12.75" x14ac:dyDescent="0.35">
      <c r="A48" s="58" t="s">
        <v>76</v>
      </c>
      <c r="B48" s="99">
        <f>SUMIF(Transactions!$A$16:$A$46,Transactions!$B72,Transactions!D$16:D$46)</f>
        <v>0</v>
      </c>
      <c r="C48" s="99">
        <f>SUMIF(Transactions!$A$16:$A$46,Transactions!$B72,Transactions!E$16:E$46)</f>
        <v>0</v>
      </c>
      <c r="D48" s="99">
        <f>SUMIF(Transactions!$A$16:$A$46,Transactions!$B72,Transactions!F$16:F$46)</f>
        <v>0</v>
      </c>
      <c r="E48" s="99">
        <f>SUMIF(Transactions!$A$16:$A$46,Transactions!$B72,Transactions!G$16:G$46)</f>
        <v>0</v>
      </c>
      <c r="F48" s="100"/>
      <c r="G48" s="99">
        <f>ROUND(SUM(B48:E48),2)</f>
        <v>0</v>
      </c>
    </row>
    <row r="49" spans="1:7" ht="12.75" x14ac:dyDescent="0.35">
      <c r="A49" s="58" t="s">
        <v>194</v>
      </c>
      <c r="B49" s="99">
        <f>SUMIF(Transactions!$A$16:$A$46,Transactions!$B73,Transactions!D$16:D$46)</f>
        <v>0</v>
      </c>
      <c r="C49" s="99">
        <f>SUMIF(Transactions!$A$16:$A$46,Transactions!$B73,Transactions!E$16:E$46)</f>
        <v>0</v>
      </c>
      <c r="D49" s="99">
        <f>SUMIF(Transactions!$A$16:$A$46,Transactions!$B73,Transactions!F$16:F$46)</f>
        <v>0</v>
      </c>
      <c r="E49" s="99">
        <f>SUMIF(Transactions!$A$16:$A$46,Transactions!$B73,Transactions!G$16:G$46)</f>
        <v>0</v>
      </c>
      <c r="F49" s="100"/>
      <c r="G49" s="99">
        <f>ROUND(SUM(B49:E49),2)</f>
        <v>0</v>
      </c>
    </row>
    <row r="50" spans="1:7" ht="12.75" x14ac:dyDescent="0.35">
      <c r="A50" s="58" t="s">
        <v>195</v>
      </c>
      <c r="B50" s="99">
        <f>SUMIF(Transactions!$A$16:$A$46,Transactions!$B74,Transactions!D$16:D$46)</f>
        <v>0</v>
      </c>
      <c r="C50" s="99">
        <f>SUMIF(Transactions!$A$16:$A$46,Transactions!$B74,Transactions!E$16:E$46)</f>
        <v>0</v>
      </c>
      <c r="D50" s="99">
        <f>SUMIF(Transactions!$A$16:$A$46,Transactions!$B74,Transactions!F$16:F$46)</f>
        <v>0</v>
      </c>
      <c r="E50" s="99">
        <f>SUMIF(Transactions!$A$16:$A$46,Transactions!$B74,Transactions!G$16:G$46)</f>
        <v>0</v>
      </c>
      <c r="F50" s="100"/>
      <c r="G50" s="99">
        <f>ROUND(SUM(B50:E50),2)</f>
        <v>0</v>
      </c>
    </row>
    <row r="51" spans="1:7" ht="12.75" x14ac:dyDescent="0.35">
      <c r="A51" s="58" t="s">
        <v>75</v>
      </c>
      <c r="B51" s="99">
        <f>SUMIF(Transactions!$A$16:$A$46,Transactions!$B75,Transactions!D$16:D$46)</f>
        <v>0</v>
      </c>
      <c r="C51" s="99">
        <f>SUMIF(Transactions!$A$16:$A$46,Transactions!$B75,Transactions!E$16:E$46)</f>
        <v>0</v>
      </c>
      <c r="D51" s="99">
        <f>SUMIF(Transactions!$A$16:$A$46,Transactions!$B75,Transactions!F$16:F$46)</f>
        <v>0</v>
      </c>
      <c r="E51" s="99">
        <f>SUMIF(Transactions!$A$16:$A$46,Transactions!$B75,Transactions!G$16:G$46)</f>
        <v>0</v>
      </c>
      <c r="F51" s="100"/>
      <c r="G51" s="99">
        <f>ROUND(SUM(B51:E51),2)</f>
        <v>0</v>
      </c>
    </row>
    <row r="52" spans="1:7" ht="12.75" x14ac:dyDescent="0.35">
      <c r="A52" s="58" t="s">
        <v>337</v>
      </c>
      <c r="B52" s="99">
        <f>ROUND(SUM(B47:B51),2)</f>
        <v>0</v>
      </c>
      <c r="C52" s="99">
        <f>ROUND(SUM(C47:C51),2)</f>
        <v>0</v>
      </c>
      <c r="D52" s="99">
        <f>ROUND(SUM(D47:D51),2)</f>
        <v>0</v>
      </c>
      <c r="E52" s="99">
        <f>ROUND(SUM(E47:E51),2)</f>
        <v>0</v>
      </c>
      <c r="F52" s="100"/>
      <c r="G52" s="99">
        <f>ROUND(SUM(G47:G51),2)</f>
        <v>0</v>
      </c>
    </row>
    <row r="53" spans="1:7" thickBot="1" x14ac:dyDescent="0.4">
      <c r="A53" s="55" t="s">
        <v>162</v>
      </c>
      <c r="B53" s="55"/>
      <c r="C53" s="55"/>
      <c r="D53" s="55"/>
      <c r="E53" s="55"/>
      <c r="F53" s="55"/>
      <c r="G53" s="55"/>
    </row>
    <row r="54" spans="1:7" ht="12.75" x14ac:dyDescent="0.35">
      <c r="A54" s="163" t="str">
        <f>Check!B43</f>
        <v/>
      </c>
      <c r="B54" s="50"/>
      <c r="C54" s="50"/>
      <c r="D54" s="163"/>
      <c r="E54" s="163" t="str">
        <f>Check!B46</f>
        <v/>
      </c>
      <c r="F54" s="50"/>
      <c r="G54" s="50"/>
    </row>
    <row r="55" spans="1:7" ht="12.75" x14ac:dyDescent="0.35">
      <c r="A55" s="163" t="str">
        <f>Check!B44</f>
        <v/>
      </c>
      <c r="B55" s="50"/>
      <c r="C55" s="50"/>
      <c r="D55" s="50"/>
      <c r="E55" s="50"/>
      <c r="F55" s="50"/>
      <c r="G55" s="50"/>
    </row>
    <row r="56" spans="1:7" thickBot="1" x14ac:dyDescent="0.4">
      <c r="A56" s="163" t="str">
        <f>Check!B45</f>
        <v/>
      </c>
      <c r="B56" s="50"/>
      <c r="C56" s="50"/>
      <c r="D56" s="50"/>
      <c r="E56" s="50"/>
      <c r="F56" s="50"/>
      <c r="G56" s="50"/>
    </row>
    <row r="57" spans="1:7" ht="12.75" x14ac:dyDescent="0.35">
      <c r="A57" s="101" t="s">
        <v>72</v>
      </c>
      <c r="B57" s="102" t="str">
        <f>IF(B37&lt;&gt;"",B37,"")</f>
        <v/>
      </c>
      <c r="C57" s="102" t="str">
        <f>IF(C37&lt;&gt;"",C37,"")</f>
        <v/>
      </c>
      <c r="D57" s="102" t="str">
        <f>IF(D37&lt;&gt;"",D37,"")</f>
        <v/>
      </c>
      <c r="E57" s="102" t="str">
        <f>IF(E37&lt;&gt;"",E37,"")</f>
        <v/>
      </c>
      <c r="F57" s="102" t="s">
        <v>106</v>
      </c>
      <c r="G57" s="93" t="s">
        <v>89</v>
      </c>
    </row>
    <row r="58" spans="1:7" thickBot="1" x14ac:dyDescent="0.4">
      <c r="A58" s="94" t="s">
        <v>226</v>
      </c>
      <c r="B58" s="55"/>
      <c r="C58" s="55"/>
      <c r="D58" s="55"/>
      <c r="E58" s="55"/>
      <c r="F58" s="55"/>
      <c r="G58" s="55"/>
    </row>
    <row r="59" spans="1:7" ht="12.75" x14ac:dyDescent="0.35">
      <c r="A59" s="58" t="s">
        <v>336</v>
      </c>
      <c r="B59" s="84"/>
      <c r="C59" s="84"/>
      <c r="D59" s="84"/>
      <c r="E59" s="84"/>
      <c r="F59" s="84"/>
      <c r="G59" s="99">
        <f>ROUND(SUM(B59:F59),2)</f>
        <v>0</v>
      </c>
    </row>
    <row r="60" spans="1:7" ht="12.75" x14ac:dyDescent="0.35">
      <c r="A60" s="58" t="s">
        <v>74</v>
      </c>
      <c r="B60" s="99">
        <f>SUMIF(Transactions!$I$16:$I$46,Transactions!$E72,Transactions!L$16:L$46)</f>
        <v>0</v>
      </c>
      <c r="C60" s="99">
        <f>SUMIF(Transactions!$I$16:$I$46,Transactions!$E72,Transactions!M$16:M$46)</f>
        <v>0</v>
      </c>
      <c r="D60" s="99">
        <f>SUMIF(Transactions!$I$16:$I$46,Transactions!$E72,Transactions!N$16:N$46)</f>
        <v>0</v>
      </c>
      <c r="E60" s="99">
        <f>SUMIF(Transactions!$I$16:$I$46,Transactions!$E72,Transactions!O$16:O$46)</f>
        <v>0</v>
      </c>
      <c r="F60" s="99">
        <f>SUMIF(Transactions!$I$16:$I$46,Transactions!$E72,Transactions!P$16:P$46)</f>
        <v>0</v>
      </c>
      <c r="G60" s="99">
        <f>ROUND(SUM(B60:F60),2)</f>
        <v>0</v>
      </c>
    </row>
    <row r="61" spans="1:7" ht="12.75" x14ac:dyDescent="0.35">
      <c r="A61" s="58" t="s">
        <v>196</v>
      </c>
      <c r="B61" s="99">
        <f>SUMIF(Transactions!$I$16:$I$46,Transactions!$E73,Transactions!L$16:L$46)</f>
        <v>0</v>
      </c>
      <c r="C61" s="99">
        <f>SUMIF(Transactions!$I$16:$I$46,Transactions!$E73,Transactions!M$16:M$46)</f>
        <v>0</v>
      </c>
      <c r="D61" s="99">
        <f>SUMIF(Transactions!$I$16:$I$46,Transactions!$E73,Transactions!N$16:N$46)</f>
        <v>0</v>
      </c>
      <c r="E61" s="99">
        <f>SUMIF(Transactions!$I$16:$I$46,Transactions!$E73,Transactions!O$16:O$46)</f>
        <v>0</v>
      </c>
      <c r="F61" s="99">
        <f>SUMIF(Transactions!$I$16:$I$46,Transactions!$E73,Transactions!P$16:P$46)</f>
        <v>0</v>
      </c>
      <c r="G61" s="99">
        <f>ROUND(SUM(B61:F61),2)</f>
        <v>0</v>
      </c>
    </row>
    <row r="62" spans="1:7" ht="12.75" x14ac:dyDescent="0.35">
      <c r="A62" s="58" t="s">
        <v>195</v>
      </c>
      <c r="B62" s="99">
        <f>SUMIF(Transactions!$I$16:$I$46,Transactions!$E74,Transactions!L$16:L$46)</f>
        <v>0</v>
      </c>
      <c r="C62" s="99">
        <f>SUMIF(Transactions!$I$16:$I$46,Transactions!$E74,Transactions!M$16:M$46)</f>
        <v>0</v>
      </c>
      <c r="D62" s="99">
        <f>SUMIF(Transactions!$I$16:$I$46,Transactions!$E74,Transactions!N$16:N$46)</f>
        <v>0</v>
      </c>
      <c r="E62" s="99">
        <f>SUMIF(Transactions!$I$16:$I$46,Transactions!$E74,Transactions!O$16:O$46)</f>
        <v>0</v>
      </c>
      <c r="F62" s="99">
        <f>SUMIF(Transactions!$I$16:$I$46,Transactions!$E74,Transactions!P$16:P$46)</f>
        <v>0</v>
      </c>
      <c r="G62" s="99">
        <f>ROUND(SUM(B62:F62),2)</f>
        <v>0</v>
      </c>
    </row>
    <row r="63" spans="1:7" ht="12.75" x14ac:dyDescent="0.35">
      <c r="A63" s="58" t="s">
        <v>75</v>
      </c>
      <c r="B63" s="99">
        <f>SUMIF(Transactions!$I$16:$I$46,Transactions!$E75,Transactions!L$16:L$46)</f>
        <v>0</v>
      </c>
      <c r="C63" s="99">
        <f>SUMIF(Transactions!$I$16:$I$46,Transactions!$E75,Transactions!M$16:M$46)</f>
        <v>0</v>
      </c>
      <c r="D63" s="99">
        <f>SUMIF(Transactions!$I$16:$I$46,Transactions!$E75,Transactions!N$16:N$46)</f>
        <v>0</v>
      </c>
      <c r="E63" s="99">
        <f>SUMIF(Transactions!$I$16:$I$46,Transactions!$E75,Transactions!O$16:O$46)</f>
        <v>0</v>
      </c>
      <c r="F63" s="99">
        <f>SUMIF(Transactions!$I$16:$I$46,Transactions!$E75,Transactions!P$16:P$46)</f>
        <v>0</v>
      </c>
      <c r="G63" s="99">
        <f>ROUND(SUM(B63:F63),2)</f>
        <v>0</v>
      </c>
    </row>
    <row r="64" spans="1:7" ht="12.75" x14ac:dyDescent="0.35">
      <c r="A64" s="58" t="s">
        <v>337</v>
      </c>
      <c r="B64" s="99">
        <f t="shared" ref="B64:G64" si="0">ROUND(SUM(B59:B63),2)</f>
        <v>0</v>
      </c>
      <c r="C64" s="99">
        <f t="shared" si="0"/>
        <v>0</v>
      </c>
      <c r="D64" s="99">
        <f t="shared" si="0"/>
        <v>0</v>
      </c>
      <c r="E64" s="99">
        <f t="shared" si="0"/>
        <v>0</v>
      </c>
      <c r="F64" s="99">
        <f t="shared" si="0"/>
        <v>0</v>
      </c>
      <c r="G64" s="99">
        <f t="shared" si="0"/>
        <v>0</v>
      </c>
    </row>
    <row r="65" spans="1:9" thickBot="1" x14ac:dyDescent="0.4">
      <c r="A65" s="55" t="s">
        <v>163</v>
      </c>
      <c r="B65" s="103"/>
      <c r="C65" s="103"/>
      <c r="D65" s="103"/>
      <c r="E65" s="103"/>
      <c r="F65" s="103"/>
      <c r="G65" s="103"/>
    </row>
    <row r="66" spans="1:9" ht="12.75" x14ac:dyDescent="0.35">
      <c r="A66" s="163" t="str">
        <f>Check!B47</f>
        <v/>
      </c>
      <c r="B66" s="104"/>
      <c r="C66" s="104"/>
      <c r="D66" s="104"/>
      <c r="E66" s="104"/>
      <c r="F66" s="104"/>
      <c r="G66" s="104"/>
    </row>
    <row r="67" spans="1:9" ht="12.75" x14ac:dyDescent="0.35">
      <c r="A67" s="105" t="s">
        <v>279</v>
      </c>
      <c r="B67" s="104"/>
      <c r="C67" s="104"/>
      <c r="D67" s="104"/>
      <c r="E67" s="104"/>
      <c r="F67" s="104"/>
      <c r="G67" s="104"/>
    </row>
    <row r="68" spans="1:9" s="47" customFormat="1" ht="11.65" x14ac:dyDescent="0.35">
      <c r="A68" s="76" t="s">
        <v>286</v>
      </c>
      <c r="D68" s="90"/>
      <c r="E68" s="90"/>
      <c r="F68" s="90"/>
      <c r="G68" s="90"/>
      <c r="H68" s="90"/>
      <c r="I68" s="90"/>
    </row>
    <row r="69" spans="1:9" s="47" customFormat="1" ht="11.65" x14ac:dyDescent="0.35">
      <c r="A69" s="76" t="s">
        <v>287</v>
      </c>
      <c r="D69" s="90"/>
      <c r="E69" s="90"/>
      <c r="F69" s="90"/>
      <c r="G69" s="90"/>
      <c r="H69" s="90"/>
      <c r="I69" s="90"/>
    </row>
    <row r="70" spans="1:9" ht="12.75" x14ac:dyDescent="0.35">
      <c r="A70" s="104"/>
      <c r="B70" s="104"/>
      <c r="C70" s="104"/>
      <c r="D70" s="104"/>
      <c r="E70" s="104"/>
      <c r="F70" s="104"/>
      <c r="G70" s="104"/>
    </row>
    <row r="71" spans="1:9" ht="15" x14ac:dyDescent="0.4">
      <c r="A71" s="137" t="s">
        <v>280</v>
      </c>
    </row>
    <row r="72" spans="1:9" ht="12.75" x14ac:dyDescent="0.35">
      <c r="A72" s="47" t="s">
        <v>216</v>
      </c>
      <c r="B72" s="47"/>
      <c r="C72" s="47"/>
      <c r="D72" s="47"/>
      <c r="E72" s="47"/>
      <c r="F72" s="47"/>
      <c r="G72" s="106">
        <f>ROUND(G47+G59,2)</f>
        <v>0</v>
      </c>
      <c r="H72" s="107" t="str">
        <f>Check!B26</f>
        <v/>
      </c>
    </row>
    <row r="73" spans="1:9" ht="12.75" x14ac:dyDescent="0.35">
      <c r="A73" s="47" t="s">
        <v>217</v>
      </c>
      <c r="B73" s="47"/>
      <c r="C73" s="47"/>
      <c r="D73" s="47"/>
      <c r="E73" s="47"/>
      <c r="F73" s="47"/>
      <c r="G73" s="106">
        <f>ROUND(G52+G64,2)</f>
        <v>0</v>
      </c>
    </row>
    <row r="74" spans="1:9" ht="12.75" x14ac:dyDescent="0.35">
      <c r="A74" s="47" t="s">
        <v>250</v>
      </c>
      <c r="B74" s="47"/>
      <c r="C74" s="47"/>
      <c r="D74" s="47"/>
      <c r="E74" s="47"/>
      <c r="F74" s="47"/>
      <c r="G74" s="85"/>
    </row>
    <row r="75" spans="1:9" ht="12.75" x14ac:dyDescent="0.35">
      <c r="A75" s="47" t="s">
        <v>186</v>
      </c>
      <c r="B75" s="47"/>
      <c r="C75" s="47"/>
      <c r="D75" s="47"/>
      <c r="E75" s="47"/>
      <c r="F75" s="47"/>
      <c r="G75" s="106">
        <f>ROUND(G73+G74,2)</f>
        <v>0</v>
      </c>
    </row>
    <row r="76" spans="1:9" ht="12.75" x14ac:dyDescent="0.35">
      <c r="A76" s="47"/>
      <c r="B76" s="47"/>
      <c r="C76" s="47"/>
      <c r="D76" s="47"/>
      <c r="E76" s="47"/>
      <c r="F76" s="47"/>
      <c r="G76" s="47"/>
    </row>
    <row r="77" spans="1:9" ht="12.75" x14ac:dyDescent="0.35">
      <c r="A77" s="140" t="s">
        <v>264</v>
      </c>
      <c r="B77" s="47"/>
      <c r="C77" s="47"/>
      <c r="D77" s="47"/>
      <c r="E77" s="47"/>
      <c r="F77" s="47"/>
      <c r="G77" s="83" t="s">
        <v>114</v>
      </c>
    </row>
    <row r="78" spans="1:9" ht="12.75" x14ac:dyDescent="0.35">
      <c r="A78" s="47" t="s">
        <v>281</v>
      </c>
      <c r="B78" s="47"/>
      <c r="C78" s="47"/>
      <c r="D78" s="47"/>
      <c r="E78" s="47"/>
      <c r="F78" s="47"/>
      <c r="G78" s="69"/>
    </row>
    <row r="79" spans="1:9" ht="12.75" x14ac:dyDescent="0.35">
      <c r="A79" s="45"/>
      <c r="B79" s="69"/>
      <c r="C79" s="69"/>
      <c r="D79" s="69"/>
      <c r="E79" s="69"/>
      <c r="F79" s="69"/>
      <c r="G79" s="69"/>
      <c r="H79" s="28"/>
      <c r="I79" s="28"/>
    </row>
    <row r="80" spans="1:9" ht="15" x14ac:dyDescent="0.4">
      <c r="A80" s="137" t="s">
        <v>282</v>
      </c>
    </row>
    <row r="81" spans="1:7" ht="12.75" x14ac:dyDescent="0.35">
      <c r="A81" s="70" t="s">
        <v>270</v>
      </c>
      <c r="B81" s="47"/>
      <c r="C81" s="47"/>
      <c r="D81" s="47"/>
      <c r="E81" s="47"/>
      <c r="F81" s="47"/>
      <c r="G81" s="47"/>
    </row>
    <row r="82" spans="1:7" thickBot="1" x14ac:dyDescent="0.4">
      <c r="A82" s="45"/>
      <c r="B82" s="47"/>
      <c r="C82" s="47"/>
      <c r="D82" s="47"/>
      <c r="E82" s="47"/>
      <c r="F82" s="47"/>
      <c r="G82" s="47"/>
    </row>
    <row r="83" spans="1:7" thickBot="1" x14ac:dyDescent="0.4">
      <c r="A83" s="45" t="s">
        <v>257</v>
      </c>
      <c r="B83" s="47"/>
      <c r="C83" s="47"/>
      <c r="D83" s="108" t="str">
        <f>IF(Check!B35&gt;0,"",CONCATENATE("=  ",'Percentage Calc'!D55,"%"))</f>
        <v/>
      </c>
      <c r="E83" s="66" t="str">
        <f>IF(UPPER(G77)="Y","","Will only calculate if data is confirmed above (Section F)")</f>
        <v>Will only calculate if data is confirmed above (Section F)</v>
      </c>
      <c r="F83" s="47"/>
      <c r="G83" s="47"/>
    </row>
    <row r="84" spans="1:7" ht="12.75" x14ac:dyDescent="0.35">
      <c r="A84" s="45" t="s">
        <v>187</v>
      </c>
      <c r="B84" s="47"/>
      <c r="C84" s="47"/>
      <c r="D84" s="47"/>
      <c r="E84" s="66" t="str">
        <f>Check!B37</f>
        <v/>
      </c>
      <c r="F84" s="47"/>
      <c r="G84" s="47"/>
    </row>
    <row r="85" spans="1:7" ht="12.75" x14ac:dyDescent="0.35">
      <c r="A85" s="45"/>
      <c r="B85" s="47"/>
      <c r="C85" s="47"/>
      <c r="D85" s="47"/>
      <c r="E85" s="66" t="str">
        <f>Check!B38</f>
        <v/>
      </c>
      <c r="F85" s="47"/>
      <c r="G85" s="47"/>
    </row>
    <row r="86" spans="1:7" thickBot="1" x14ac:dyDescent="0.4">
      <c r="A86" s="45"/>
      <c r="B86" s="47"/>
      <c r="C86" s="47"/>
      <c r="D86" s="47"/>
      <c r="E86" s="66" t="str">
        <f>Check!D10</f>
        <v/>
      </c>
      <c r="F86" s="47"/>
      <c r="G86" s="47"/>
    </row>
    <row r="87" spans="1:7" thickTop="1" x14ac:dyDescent="0.35">
      <c r="A87" s="109" t="s">
        <v>219</v>
      </c>
      <c r="B87" s="110"/>
      <c r="C87" s="110"/>
      <c r="D87" s="110"/>
      <c r="E87" s="110"/>
      <c r="F87" s="110"/>
      <c r="G87" s="111"/>
    </row>
    <row r="88" spans="1:7" ht="12.75" x14ac:dyDescent="0.35">
      <c r="A88" s="184"/>
      <c r="B88" s="185"/>
      <c r="C88" s="185"/>
      <c r="D88" s="185"/>
      <c r="E88" s="185"/>
      <c r="F88" s="185"/>
      <c r="G88" s="186"/>
    </row>
    <row r="89" spans="1:7" ht="12.75" x14ac:dyDescent="0.35">
      <c r="A89" s="187"/>
      <c r="B89" s="185"/>
      <c r="C89" s="185"/>
      <c r="D89" s="185"/>
      <c r="E89" s="185"/>
      <c r="F89" s="185"/>
      <c r="G89" s="186"/>
    </row>
    <row r="90" spans="1:7" ht="12.75" x14ac:dyDescent="0.35">
      <c r="A90" s="187"/>
      <c r="B90" s="185"/>
      <c r="C90" s="185"/>
      <c r="D90" s="185"/>
      <c r="E90" s="185"/>
      <c r="F90" s="185"/>
      <c r="G90" s="186"/>
    </row>
    <row r="91" spans="1:7" ht="12.75" x14ac:dyDescent="0.35">
      <c r="A91" s="187"/>
      <c r="B91" s="185"/>
      <c r="C91" s="185"/>
      <c r="D91" s="185"/>
      <c r="E91" s="185"/>
      <c r="F91" s="185"/>
      <c r="G91" s="186"/>
    </row>
    <row r="92" spans="1:7" thickBot="1" x14ac:dyDescent="0.4">
      <c r="A92" s="188"/>
      <c r="B92" s="189"/>
      <c r="C92" s="189"/>
      <c r="D92" s="189"/>
      <c r="E92" s="189"/>
      <c r="F92" s="189"/>
      <c r="G92" s="190"/>
    </row>
    <row r="93" spans="1:7" thickTop="1" x14ac:dyDescent="0.35">
      <c r="A93" s="67" t="s">
        <v>330</v>
      </c>
    </row>
    <row r="96" spans="1:7" customFormat="1" ht="12.75" hidden="1" x14ac:dyDescent="0.35">
      <c r="A96" s="25" t="s">
        <v>259</v>
      </c>
      <c r="B96" s="25" t="s">
        <v>199</v>
      </c>
      <c r="E96" s="26"/>
      <c r="F96" s="25"/>
      <c r="G96" s="25"/>
    </row>
    <row r="97" spans="1:7" customFormat="1" ht="12.75" hidden="1" x14ac:dyDescent="0.35">
      <c r="A97" s="25"/>
      <c r="B97" s="25" t="s">
        <v>200</v>
      </c>
      <c r="E97" s="26"/>
      <c r="F97" s="25"/>
      <c r="G97" s="25"/>
    </row>
    <row r="98" spans="1:7" customFormat="1" ht="12.75" hidden="1" x14ac:dyDescent="0.35">
      <c r="A98" s="25"/>
      <c r="B98" s="25" t="s">
        <v>201</v>
      </c>
      <c r="E98" s="26"/>
      <c r="F98" s="25"/>
      <c r="G98" s="25"/>
    </row>
    <row r="99" spans="1:7" customFormat="1" ht="12.75" hidden="1" x14ac:dyDescent="0.35">
      <c r="A99" s="25"/>
      <c r="B99" s="25" t="s">
        <v>202</v>
      </c>
      <c r="E99" s="26"/>
      <c r="F99" s="25"/>
      <c r="G99" s="25"/>
    </row>
    <row r="100" spans="1:7" customFormat="1" ht="12.75" hidden="1" x14ac:dyDescent="0.35">
      <c r="A100" s="25"/>
      <c r="B100" s="25" t="s">
        <v>203</v>
      </c>
      <c r="E100" s="26"/>
      <c r="F100" s="25"/>
      <c r="G100" s="25"/>
    </row>
    <row r="101" spans="1:7" customFormat="1" ht="12.75" hidden="1" x14ac:dyDescent="0.35">
      <c r="A101" s="25"/>
      <c r="B101" s="25" t="s">
        <v>204</v>
      </c>
      <c r="E101" s="26"/>
      <c r="F101" s="25"/>
      <c r="G101" s="25"/>
    </row>
    <row r="102" spans="1:7" customFormat="1" ht="12.75" hidden="1" x14ac:dyDescent="0.35">
      <c r="A102" s="25"/>
      <c r="B102" s="25" t="s">
        <v>205</v>
      </c>
      <c r="E102" s="26"/>
      <c r="F102" s="25"/>
      <c r="G102" s="25"/>
    </row>
    <row r="103" spans="1:7" customFormat="1" ht="12.75" hidden="1" x14ac:dyDescent="0.35">
      <c r="A103" s="25"/>
      <c r="B103" s="25" t="s">
        <v>206</v>
      </c>
      <c r="E103" s="26"/>
      <c r="F103" s="25"/>
      <c r="G103" s="25"/>
    </row>
    <row r="104" spans="1:7" customFormat="1" ht="12.75" hidden="1" x14ac:dyDescent="0.35">
      <c r="A104" s="25"/>
      <c r="E104" s="26"/>
      <c r="F104" s="25"/>
      <c r="G104" s="25"/>
    </row>
    <row r="105" spans="1:7" customFormat="1" ht="12.75" hidden="1" x14ac:dyDescent="0.35">
      <c r="A105" s="25" t="s">
        <v>164</v>
      </c>
      <c r="B105" t="s">
        <v>56</v>
      </c>
      <c r="C105" t="s">
        <v>165</v>
      </c>
      <c r="E105" s="26"/>
      <c r="F105" s="25"/>
      <c r="G105" s="25"/>
    </row>
    <row r="106" spans="1:7" customFormat="1" ht="12.75" hidden="1" x14ac:dyDescent="0.35">
      <c r="A106" s="25"/>
      <c r="B106" t="s">
        <v>114</v>
      </c>
      <c r="C106" t="s">
        <v>166</v>
      </c>
      <c r="E106" s="26"/>
      <c r="F106" s="25"/>
      <c r="G106" s="25"/>
    </row>
  </sheetData>
  <sheetProtection password="C7DC" sheet="1" objects="1" scenarios="1"/>
  <dataConsolidate/>
  <mergeCells count="4">
    <mergeCell ref="A1:I1"/>
    <mergeCell ref="A88:G92"/>
    <mergeCell ref="A8:G8"/>
    <mergeCell ref="A9:G9"/>
  </mergeCells>
  <phoneticPr fontId="5" type="noConversion"/>
  <conditionalFormatting sqref="B48:E48">
    <cfRule type="cellIs" dxfId="5" priority="2" stopIfTrue="1" operator="greaterThan">
      <formula>0.001</formula>
    </cfRule>
  </conditionalFormatting>
  <conditionalFormatting sqref="B52:E52">
    <cfRule type="cellIs" dxfId="4" priority="1" operator="greaterThan">
      <formula>1600000</formula>
    </cfRule>
  </conditionalFormatting>
  <dataValidations xWindow="597" yWindow="553" count="6">
    <dataValidation type="list" allowBlank="1" showInputMessage="1" showErrorMessage="1" errorTitle="Invalid Code" error="Must be Y or N" promptTitle="Data OK?" prompt="Select Code or Type Letter_x000a_Y Yes if OK_x000a_Otherwise N (default) &amp; explain in comments below" sqref="G77">
      <formula1>$B$105:$B$106</formula1>
    </dataValidation>
    <dataValidation type="list" allowBlank="1" showInputMessage="1" showErrorMessage="1" errorTitle="Invalid Code" error="Must be Y or N" promptTitle="Terminiation Indicator" prompt="Select Code or Type Letter_x000a_Y for Termination During the Year_x000a_Otherwise N (default)" sqref="B30">
      <formula1>$B$105:$B$106</formula1>
    </dataValidation>
    <dataValidation type="list" allowBlank="1" showInputMessage="1" showErrorMessage="1" errorTitle="Invalid Code" error="Must be Y or N" promptTitle="Segregated Pension Assets" prompt="Select Code or Type Letter_x000a_Y for if there are_x000a_Otherwise N (Default)" sqref="B31">
      <formula1>$B$105:$B$106</formula1>
    </dataValidation>
    <dataValidation type="list" allowBlank="1" showInputMessage="1" showErrorMessage="1" errorTitle="Invalid State" error="Choose valid State" promptTitle="State" prompt="Select Code or Type Letters_x000a_ACT_x000a_NSW_x000a_QLD_x000a_SA_x000a_TAS_x000a_VIC_x000a_WA" sqref="B16">
      <formula1>$B$96:$B$103</formula1>
    </dataValidation>
    <dataValidation type="date" operator="lessThan" allowBlank="1" showInputMessage="1" showErrorMessage="1" errorTitle="Invalid Date" error="Outside age range" promptTitle="Date of birth" prompt="dd/mm/yyyy format" sqref="B38:E38">
      <formula1>37073</formula1>
    </dataValidation>
    <dataValidation type="list" allowBlank="1" showInputMessage="1" showErrorMessage="1" errorTitle="Invalid Code" error="Must be Y or N" promptTitle="Pension Shortfall Payment" prompt="Select Code or Type Letter_x000a_Y for if there was a pension shortfall payment Otherwise N (Default)_x000a_Required conditions for a shortfall payment include:_x000a_honest mistake_x000a_underpayment less than 1/12 of the min_x000a_always met min in the past_x000a_catchup payment ASAP" sqref="B32">
      <formula1>$B$105:$B$106</formula1>
    </dataValidation>
  </dataValidations>
  <hyperlinks>
    <hyperlink ref="A9:G9" r:id="rId1" display="Please return the completed spreadsheet request by email to mail@pbasuper.com.au (you can also click this sentence)"/>
  </hyperlinks>
  <pageMargins left="0.25" right="0.25" top="0.75" bottom="0.75" header="0.3" footer="0.3"/>
  <pageSetup paperSize="9" orientation="landscape"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75"/>
  <sheetViews>
    <sheetView zoomScaleNormal="100" workbookViewId="0">
      <selection activeCell="A18" sqref="A18"/>
    </sheetView>
  </sheetViews>
  <sheetFormatPr defaultColWidth="9.1328125" defaultRowHeight="12.75" x14ac:dyDescent="0.35"/>
  <cols>
    <col min="1" max="1" width="11.73046875" style="26" customWidth="1"/>
    <col min="2" max="2" width="25.73046875" style="26" customWidth="1"/>
    <col min="3" max="7" width="11.73046875" style="26" customWidth="1"/>
    <col min="8" max="8" width="3.1328125" style="26" customWidth="1"/>
    <col min="9" max="9" width="11.73046875" style="26" customWidth="1"/>
    <col min="10" max="10" width="25.73046875" style="26" customWidth="1"/>
    <col min="11" max="16" width="11.73046875" style="26" customWidth="1"/>
    <col min="17" max="16384" width="9.1328125" style="26"/>
  </cols>
  <sheetData>
    <row r="1" spans="1:16" ht="15" x14ac:dyDescent="0.4">
      <c r="A1" s="137" t="s">
        <v>277</v>
      </c>
    </row>
    <row r="2" spans="1:16" x14ac:dyDescent="0.35">
      <c r="A2" s="47"/>
      <c r="B2" s="47"/>
      <c r="C2" s="47"/>
      <c r="D2" s="47"/>
      <c r="E2" s="47"/>
      <c r="F2" s="47"/>
      <c r="G2" s="47"/>
      <c r="H2" s="47"/>
      <c r="I2" s="47"/>
      <c r="J2" s="47"/>
      <c r="K2" s="47"/>
      <c r="L2" s="47"/>
      <c r="M2" s="47"/>
      <c r="N2" s="47"/>
      <c r="O2" s="47"/>
      <c r="P2" s="47"/>
    </row>
    <row r="3" spans="1:16" x14ac:dyDescent="0.35">
      <c r="A3" s="112" t="s">
        <v>221</v>
      </c>
      <c r="B3" s="47"/>
      <c r="C3" s="47"/>
      <c r="D3" s="47"/>
      <c r="E3" s="47"/>
      <c r="F3" s="47"/>
      <c r="G3" s="47"/>
      <c r="H3" s="47"/>
      <c r="I3" s="47"/>
      <c r="J3" s="47"/>
      <c r="K3" s="47"/>
      <c r="L3" s="47"/>
      <c r="M3" s="47"/>
      <c r="N3" s="47"/>
      <c r="O3" s="47"/>
      <c r="P3" s="47"/>
    </row>
    <row r="4" spans="1:16" x14ac:dyDescent="0.35">
      <c r="A4" s="113" t="s">
        <v>297</v>
      </c>
      <c r="B4" s="47"/>
      <c r="C4" s="47"/>
      <c r="D4" s="47"/>
      <c r="E4" s="47"/>
      <c r="F4" s="47"/>
      <c r="G4" s="47"/>
      <c r="H4" s="47"/>
      <c r="I4" s="47"/>
      <c r="J4" s="47"/>
      <c r="K4" s="47"/>
      <c r="L4" s="47"/>
      <c r="M4" s="47"/>
      <c r="N4" s="47"/>
      <c r="O4" s="47"/>
      <c r="P4" s="47"/>
    </row>
    <row r="5" spans="1:16" x14ac:dyDescent="0.35">
      <c r="A5" s="67" t="s">
        <v>258</v>
      </c>
      <c r="B5" s="47"/>
      <c r="C5" s="47"/>
      <c r="D5" s="47"/>
      <c r="E5" s="47"/>
      <c r="F5" s="47"/>
      <c r="G5" s="47"/>
      <c r="H5" s="47"/>
      <c r="I5" s="47"/>
      <c r="J5" s="47"/>
      <c r="K5" s="47"/>
      <c r="L5" s="47"/>
      <c r="M5" s="47"/>
      <c r="N5" s="47"/>
      <c r="O5" s="47"/>
      <c r="P5" s="47"/>
    </row>
    <row r="6" spans="1:16" x14ac:dyDescent="0.35">
      <c r="A6" s="113" t="s">
        <v>261</v>
      </c>
      <c r="B6" s="47"/>
      <c r="C6" s="47"/>
      <c r="D6" s="47"/>
      <c r="E6" s="47"/>
      <c r="F6" s="47"/>
      <c r="G6" s="47"/>
      <c r="H6" s="47"/>
      <c r="I6" s="47"/>
      <c r="J6" s="47"/>
      <c r="K6" s="47"/>
      <c r="L6" s="47"/>
      <c r="M6" s="47"/>
      <c r="N6" s="47"/>
      <c r="O6" s="47"/>
      <c r="P6" s="47"/>
    </row>
    <row r="7" spans="1:16" x14ac:dyDescent="0.35">
      <c r="A7" s="113" t="s">
        <v>271</v>
      </c>
      <c r="B7" s="47"/>
      <c r="C7" s="47"/>
      <c r="D7" s="47"/>
      <c r="E7" s="47"/>
      <c r="F7" s="47"/>
      <c r="G7" s="47"/>
      <c r="H7" s="47"/>
      <c r="I7" s="47"/>
      <c r="J7" s="47"/>
      <c r="K7" s="47"/>
      <c r="L7" s="47"/>
      <c r="M7" s="47"/>
      <c r="N7" s="47"/>
      <c r="O7" s="47"/>
      <c r="P7" s="47"/>
    </row>
    <row r="8" spans="1:16" x14ac:dyDescent="0.35">
      <c r="A8" s="162" t="s">
        <v>220</v>
      </c>
      <c r="B8" s="47"/>
      <c r="C8" s="47"/>
      <c r="D8" s="47"/>
      <c r="E8" s="47"/>
      <c r="F8" s="47"/>
      <c r="G8" s="47"/>
      <c r="H8" s="47"/>
      <c r="I8" s="47"/>
      <c r="J8" s="47"/>
      <c r="K8" s="47"/>
      <c r="L8" s="47"/>
      <c r="M8" s="47"/>
      <c r="N8" s="47"/>
      <c r="O8" s="47"/>
      <c r="P8" s="47"/>
    </row>
    <row r="9" spans="1:16" x14ac:dyDescent="0.35">
      <c r="A9" s="113" t="s">
        <v>249</v>
      </c>
      <c r="B9" s="47"/>
      <c r="C9" s="47"/>
      <c r="D9" s="47"/>
      <c r="E9" s="47"/>
      <c r="F9" s="47"/>
      <c r="G9" s="47"/>
      <c r="H9" s="47"/>
      <c r="I9" s="47"/>
      <c r="J9" s="47"/>
      <c r="K9" s="47"/>
      <c r="L9" s="47"/>
      <c r="M9" s="47"/>
      <c r="N9" s="47"/>
      <c r="O9" s="47"/>
      <c r="P9" s="47"/>
    </row>
    <row r="10" spans="1:16" x14ac:dyDescent="0.35">
      <c r="A10" s="114" t="str">
        <f>Check!B49</f>
        <v/>
      </c>
      <c r="B10" s="47"/>
      <c r="C10" s="47"/>
      <c r="D10" s="47"/>
      <c r="E10" s="47"/>
      <c r="F10" s="47"/>
      <c r="G10" s="47"/>
      <c r="H10" s="47"/>
      <c r="I10" s="47"/>
      <c r="J10" s="47"/>
      <c r="K10" s="47"/>
      <c r="L10" s="47"/>
      <c r="M10" s="47"/>
      <c r="N10" s="47"/>
      <c r="O10" s="47"/>
      <c r="P10" s="47"/>
    </row>
    <row r="11" spans="1:16" x14ac:dyDescent="0.35">
      <c r="A11" s="45"/>
      <c r="B11" s="45"/>
      <c r="C11" s="45"/>
      <c r="D11" s="199" t="s">
        <v>70</v>
      </c>
      <c r="E11" s="200"/>
      <c r="F11" s="200"/>
      <c r="G11" s="201"/>
      <c r="H11" s="115"/>
      <c r="I11" s="45"/>
      <c r="J11" s="45"/>
      <c r="K11" s="45"/>
      <c r="L11" s="204" t="s">
        <v>226</v>
      </c>
      <c r="M11" s="197"/>
      <c r="N11" s="197"/>
      <c r="O11" s="197"/>
      <c r="P11" s="198"/>
    </row>
    <row r="12" spans="1:16" x14ac:dyDescent="0.35">
      <c r="A12" s="45"/>
      <c r="B12" s="45"/>
      <c r="C12" s="45"/>
      <c r="D12" s="172" t="s">
        <v>108</v>
      </c>
      <c r="E12" s="172" t="s">
        <v>109</v>
      </c>
      <c r="F12" s="173" t="s">
        <v>181</v>
      </c>
      <c r="G12" s="173" t="s">
        <v>111</v>
      </c>
      <c r="H12" s="49"/>
      <c r="I12" s="45"/>
      <c r="J12" s="45"/>
      <c r="K12" s="45"/>
      <c r="L12" s="172" t="s">
        <v>77</v>
      </c>
      <c r="M12" s="172" t="s">
        <v>78</v>
      </c>
      <c r="N12" s="172" t="s">
        <v>79</v>
      </c>
      <c r="O12" s="172" t="s">
        <v>80</v>
      </c>
      <c r="P12" s="172" t="s">
        <v>106</v>
      </c>
    </row>
    <row r="13" spans="1:16" x14ac:dyDescent="0.35">
      <c r="A13" s="114" t="str">
        <f>IF(Check!B54&lt;&gt;"",Check!B54,"")</f>
        <v/>
      </c>
      <c r="B13" s="45"/>
      <c r="C13" s="45"/>
      <c r="D13" s="174" t="str">
        <f>IF('Fund &amp; Member Details'!B45&lt;&gt;"",'Fund &amp; Member Details'!B45,"N/A")</f>
        <v>N/A</v>
      </c>
      <c r="E13" s="174" t="str">
        <f>IF('Fund &amp; Member Details'!C45&lt;&gt;"",'Fund &amp; Member Details'!C45,"N/A")</f>
        <v>N/A</v>
      </c>
      <c r="F13" s="174" t="str">
        <f>IF('Fund &amp; Member Details'!D45&lt;&gt;"",'Fund &amp; Member Details'!D45,"N/A")</f>
        <v>N/A</v>
      </c>
      <c r="G13" s="174" t="str">
        <f>IF('Fund &amp; Member Details'!E45&lt;&gt;"",'Fund &amp; Member Details'!E45,"N/A")</f>
        <v>N/A</v>
      </c>
      <c r="H13" s="117"/>
      <c r="I13" s="114" t="str">
        <f>IF(Check!B55&lt;&gt;"",Check!B55,"")</f>
        <v/>
      </c>
      <c r="J13" s="45"/>
      <c r="K13" s="45"/>
      <c r="L13" s="116" t="str">
        <f>IF('Fund &amp; Member Details'!B57&lt;&gt;"",'Fund &amp; Member Details'!B57,"N/A")</f>
        <v>N/A</v>
      </c>
      <c r="M13" s="116" t="str">
        <f>IF('Fund &amp; Member Details'!C57&lt;&gt;"",'Fund &amp; Member Details'!C57,"N/A")</f>
        <v>N/A</v>
      </c>
      <c r="N13" s="116" t="str">
        <f>IF('Fund &amp; Member Details'!D57&lt;&gt;"",'Fund &amp; Member Details'!D57,"N/A")</f>
        <v>N/A</v>
      </c>
      <c r="O13" s="116" t="str">
        <f>IF('Fund &amp; Member Details'!E57&lt;&gt;"",'Fund &amp; Member Details'!E57,"N/A")</f>
        <v>N/A</v>
      </c>
      <c r="P13" s="118"/>
    </row>
    <row r="14" spans="1:16" x14ac:dyDescent="0.35">
      <c r="A14" s="45"/>
      <c r="B14" s="202" t="s">
        <v>184</v>
      </c>
      <c r="C14" s="203"/>
      <c r="D14" s="175">
        <f>ROUND('Fund &amp; Member Details'!B47+D47,2)</f>
        <v>0</v>
      </c>
      <c r="E14" s="175">
        <f>ROUND('Fund &amp; Member Details'!C47+E47,2)</f>
        <v>0</v>
      </c>
      <c r="F14" s="175">
        <f>ROUND('Fund &amp; Member Details'!D47+F47,2)</f>
        <v>0</v>
      </c>
      <c r="G14" s="175">
        <f>ROUND('Fund &amp; Member Details'!E47+G47,2)</f>
        <v>0</v>
      </c>
      <c r="H14" s="117"/>
      <c r="I14" s="45"/>
      <c r="J14" s="202" t="s">
        <v>184</v>
      </c>
      <c r="K14" s="203"/>
      <c r="L14" s="175">
        <f>ROUND('Fund &amp; Member Details'!B59+L47,2)</f>
        <v>0</v>
      </c>
      <c r="M14" s="175">
        <f>ROUND('Fund &amp; Member Details'!C59+M47,2)</f>
        <v>0</v>
      </c>
      <c r="N14" s="175">
        <f>ROUND('Fund &amp; Member Details'!D59+N47,2)</f>
        <v>0</v>
      </c>
      <c r="O14" s="175">
        <f>ROUND('Fund &amp; Member Details'!E59+O47,2)</f>
        <v>0</v>
      </c>
      <c r="P14" s="175">
        <f>ROUND('Fund &amp; Member Details'!F59+P47,2)</f>
        <v>0</v>
      </c>
    </row>
    <row r="15" spans="1:16" x14ac:dyDescent="0.35">
      <c r="A15" s="119" t="s">
        <v>179</v>
      </c>
      <c r="B15" s="119" t="s">
        <v>71</v>
      </c>
      <c r="C15" s="119" t="s">
        <v>180</v>
      </c>
      <c r="D15" s="171" t="s">
        <v>182</v>
      </c>
      <c r="E15" s="171" t="s">
        <v>182</v>
      </c>
      <c r="F15" s="171" t="s">
        <v>182</v>
      </c>
      <c r="G15" s="171" t="s">
        <v>182</v>
      </c>
      <c r="H15" s="45"/>
      <c r="I15" s="119" t="s">
        <v>179</v>
      </c>
      <c r="J15" s="119" t="s">
        <v>71</v>
      </c>
      <c r="K15" s="119" t="s">
        <v>180</v>
      </c>
      <c r="L15" s="119" t="s">
        <v>182</v>
      </c>
      <c r="M15" s="119" t="s">
        <v>182</v>
      </c>
      <c r="N15" s="119" t="s">
        <v>182</v>
      </c>
      <c r="O15" s="119" t="s">
        <v>182</v>
      </c>
      <c r="P15" s="119" t="s">
        <v>182</v>
      </c>
    </row>
    <row r="16" spans="1:16" x14ac:dyDescent="0.35">
      <c r="A16" s="120" t="s">
        <v>171</v>
      </c>
      <c r="B16" s="121" t="str">
        <f>IF(A16&lt;&gt;"",VLOOKUP(A16,$B$72:$C$75,2,FALSE),"")</f>
        <v>Pension Payment</v>
      </c>
      <c r="C16" s="121" t="s">
        <v>183</v>
      </c>
      <c r="D16" s="127"/>
      <c r="E16" s="127"/>
      <c r="F16" s="127"/>
      <c r="G16" s="127"/>
      <c r="H16" s="47"/>
      <c r="I16" s="120" t="s">
        <v>173</v>
      </c>
      <c r="J16" s="121" t="str">
        <f>IF(I16&lt;&gt;"",VLOOKUP(I16,$E$72:$F$75,2,FALSE),"")</f>
        <v>Contribution</v>
      </c>
      <c r="K16" s="121" t="s">
        <v>183</v>
      </c>
      <c r="L16" s="130"/>
      <c r="M16" s="127"/>
      <c r="N16" s="127"/>
      <c r="O16" s="127"/>
      <c r="P16" s="127"/>
    </row>
    <row r="17" spans="1:16" x14ac:dyDescent="0.35">
      <c r="A17" s="120" t="s">
        <v>176</v>
      </c>
      <c r="B17" s="121" t="str">
        <f>IF(A17&lt;&gt;"",VLOOKUP(A17,$B$72:$C$75,2,FALSE),"")</f>
        <v>Other</v>
      </c>
      <c r="C17" s="121" t="s">
        <v>183</v>
      </c>
      <c r="D17" s="127"/>
      <c r="E17" s="127"/>
      <c r="F17" s="127"/>
      <c r="G17" s="127"/>
      <c r="H17" s="47"/>
      <c r="I17" s="120" t="s">
        <v>176</v>
      </c>
      <c r="J17" s="121" t="str">
        <f>IF(I17&lt;&gt;"",VLOOKUP(I17,$E$72:$F$75,2,FALSE),"")</f>
        <v>Other</v>
      </c>
      <c r="K17" s="121" t="s">
        <v>183</v>
      </c>
      <c r="L17" s="130"/>
      <c r="M17" s="127"/>
      <c r="N17" s="127"/>
      <c r="O17" s="127"/>
      <c r="P17" s="127"/>
    </row>
    <row r="18" spans="1:16" x14ac:dyDescent="0.35">
      <c r="A18" s="79"/>
      <c r="B18" s="121" t="str">
        <f t="shared" ref="B18:B46" si="0">IF(A18&lt;&gt;"",VLOOKUP(A18,$B$72:$C$75,2,FALSE),"")</f>
        <v/>
      </c>
      <c r="C18" s="128"/>
      <c r="D18" s="127"/>
      <c r="E18" s="127"/>
      <c r="F18" s="127"/>
      <c r="G18" s="127"/>
      <c r="H18" s="47"/>
      <c r="I18" s="79"/>
      <c r="J18" s="121" t="str">
        <f t="shared" ref="J18:J46" si="1">IF(I18&lt;&gt;"",VLOOKUP(I18,$E$72:$F$75,2,FALSE),"")</f>
        <v/>
      </c>
      <c r="K18" s="128"/>
      <c r="L18" s="130"/>
      <c r="M18" s="130"/>
      <c r="N18" s="130"/>
      <c r="O18" s="130"/>
      <c r="P18" s="127"/>
    </row>
    <row r="19" spans="1:16" x14ac:dyDescent="0.35">
      <c r="A19" s="79"/>
      <c r="B19" s="121" t="str">
        <f t="shared" si="0"/>
        <v/>
      </c>
      <c r="C19" s="128"/>
      <c r="D19" s="127"/>
      <c r="E19" s="127"/>
      <c r="F19" s="127"/>
      <c r="G19" s="127"/>
      <c r="H19" s="47"/>
      <c r="I19" s="79"/>
      <c r="J19" s="121" t="str">
        <f t="shared" si="1"/>
        <v/>
      </c>
      <c r="K19" s="128"/>
      <c r="L19" s="130"/>
      <c r="M19" s="130"/>
      <c r="N19" s="130"/>
      <c r="O19" s="130"/>
      <c r="P19" s="127"/>
    </row>
    <row r="20" spans="1:16" x14ac:dyDescent="0.35">
      <c r="A20" s="79"/>
      <c r="B20" s="121" t="str">
        <f t="shared" si="0"/>
        <v/>
      </c>
      <c r="C20" s="128"/>
      <c r="D20" s="127"/>
      <c r="E20" s="127"/>
      <c r="F20" s="127"/>
      <c r="G20" s="127"/>
      <c r="H20" s="47"/>
      <c r="I20" s="79"/>
      <c r="J20" s="121" t="str">
        <f t="shared" si="1"/>
        <v/>
      </c>
      <c r="K20" s="128"/>
      <c r="L20" s="130"/>
      <c r="M20" s="127"/>
      <c r="N20" s="127"/>
      <c r="O20" s="127"/>
      <c r="P20" s="127"/>
    </row>
    <row r="21" spans="1:16" x14ac:dyDescent="0.35">
      <c r="A21" s="79"/>
      <c r="B21" s="121" t="str">
        <f t="shared" si="0"/>
        <v/>
      </c>
      <c r="C21" s="128"/>
      <c r="D21" s="127"/>
      <c r="E21" s="127"/>
      <c r="F21" s="127"/>
      <c r="G21" s="127"/>
      <c r="H21" s="47"/>
      <c r="I21" s="79"/>
      <c r="J21" s="121" t="str">
        <f t="shared" si="1"/>
        <v/>
      </c>
      <c r="K21" s="128"/>
      <c r="L21" s="130"/>
      <c r="M21" s="127"/>
      <c r="N21" s="127"/>
      <c r="O21" s="127"/>
      <c r="P21" s="127"/>
    </row>
    <row r="22" spans="1:16" x14ac:dyDescent="0.35">
      <c r="A22" s="79"/>
      <c r="B22" s="121" t="str">
        <f t="shared" si="0"/>
        <v/>
      </c>
      <c r="C22" s="128"/>
      <c r="D22" s="127"/>
      <c r="E22" s="127"/>
      <c r="F22" s="127"/>
      <c r="G22" s="127"/>
      <c r="H22" s="47"/>
      <c r="I22" s="79"/>
      <c r="J22" s="121" t="str">
        <f t="shared" si="1"/>
        <v/>
      </c>
      <c r="K22" s="128"/>
      <c r="L22" s="130"/>
      <c r="M22" s="127"/>
      <c r="N22" s="127"/>
      <c r="O22" s="127"/>
      <c r="P22" s="127"/>
    </row>
    <row r="23" spans="1:16" x14ac:dyDescent="0.35">
      <c r="A23" s="79"/>
      <c r="B23" s="121" t="str">
        <f t="shared" si="0"/>
        <v/>
      </c>
      <c r="C23" s="128"/>
      <c r="D23" s="127"/>
      <c r="E23" s="127"/>
      <c r="F23" s="127"/>
      <c r="G23" s="127"/>
      <c r="H23" s="47"/>
      <c r="I23" s="79"/>
      <c r="J23" s="121" t="str">
        <f t="shared" si="1"/>
        <v/>
      </c>
      <c r="K23" s="128"/>
      <c r="L23" s="130"/>
      <c r="M23" s="127"/>
      <c r="N23" s="127"/>
      <c r="O23" s="127"/>
      <c r="P23" s="127"/>
    </row>
    <row r="24" spans="1:16" x14ac:dyDescent="0.35">
      <c r="A24" s="79"/>
      <c r="B24" s="121" t="str">
        <f t="shared" si="0"/>
        <v/>
      </c>
      <c r="C24" s="128"/>
      <c r="D24" s="127"/>
      <c r="E24" s="127"/>
      <c r="F24" s="127"/>
      <c r="G24" s="127"/>
      <c r="H24" s="47"/>
      <c r="I24" s="79"/>
      <c r="J24" s="121" t="str">
        <f t="shared" si="1"/>
        <v/>
      </c>
      <c r="K24" s="128"/>
      <c r="L24" s="130"/>
      <c r="M24" s="127"/>
      <c r="N24" s="127"/>
      <c r="O24" s="127"/>
      <c r="P24" s="127"/>
    </row>
    <row r="25" spans="1:16" x14ac:dyDescent="0.35">
      <c r="A25" s="79"/>
      <c r="B25" s="121" t="str">
        <f t="shared" si="0"/>
        <v/>
      </c>
      <c r="C25" s="128"/>
      <c r="D25" s="127"/>
      <c r="E25" s="127"/>
      <c r="F25" s="127"/>
      <c r="G25" s="127"/>
      <c r="H25" s="47"/>
      <c r="I25" s="79"/>
      <c r="J25" s="121" t="str">
        <f t="shared" si="1"/>
        <v/>
      </c>
      <c r="K25" s="128"/>
      <c r="L25" s="130"/>
      <c r="M25" s="127"/>
      <c r="N25" s="127"/>
      <c r="O25" s="127"/>
      <c r="P25" s="127"/>
    </row>
    <row r="26" spans="1:16" x14ac:dyDescent="0.35">
      <c r="A26" s="79"/>
      <c r="B26" s="121" t="str">
        <f t="shared" si="0"/>
        <v/>
      </c>
      <c r="C26" s="128"/>
      <c r="D26" s="127"/>
      <c r="E26" s="127"/>
      <c r="F26" s="127"/>
      <c r="G26" s="127"/>
      <c r="H26" s="47"/>
      <c r="I26" s="79"/>
      <c r="J26" s="121" t="str">
        <f t="shared" si="1"/>
        <v/>
      </c>
      <c r="K26" s="128"/>
      <c r="L26" s="130"/>
      <c r="M26" s="127"/>
      <c r="N26" s="127"/>
      <c r="O26" s="127"/>
      <c r="P26" s="127"/>
    </row>
    <row r="27" spans="1:16" x14ac:dyDescent="0.35">
      <c r="A27" s="79"/>
      <c r="B27" s="121" t="str">
        <f t="shared" si="0"/>
        <v/>
      </c>
      <c r="C27" s="128"/>
      <c r="D27" s="127"/>
      <c r="E27" s="127"/>
      <c r="F27" s="127"/>
      <c r="G27" s="127"/>
      <c r="H27" s="47"/>
      <c r="I27" s="79"/>
      <c r="J27" s="121" t="str">
        <f t="shared" si="1"/>
        <v/>
      </c>
      <c r="K27" s="128"/>
      <c r="L27" s="130"/>
      <c r="M27" s="127"/>
      <c r="N27" s="127"/>
      <c r="O27" s="127"/>
      <c r="P27" s="127"/>
    </row>
    <row r="28" spans="1:16" x14ac:dyDescent="0.35">
      <c r="A28" s="79"/>
      <c r="B28" s="121" t="str">
        <f t="shared" si="0"/>
        <v/>
      </c>
      <c r="C28" s="128"/>
      <c r="D28" s="127"/>
      <c r="E28" s="127"/>
      <c r="F28" s="127"/>
      <c r="G28" s="127"/>
      <c r="H28" s="47"/>
      <c r="I28" s="79"/>
      <c r="J28" s="121" t="str">
        <f t="shared" si="1"/>
        <v/>
      </c>
      <c r="K28" s="128"/>
      <c r="L28" s="130"/>
      <c r="M28" s="127"/>
      <c r="N28" s="127"/>
      <c r="O28" s="127"/>
      <c r="P28" s="127"/>
    </row>
    <row r="29" spans="1:16" x14ac:dyDescent="0.35">
      <c r="A29" s="79"/>
      <c r="B29" s="121" t="str">
        <f t="shared" si="0"/>
        <v/>
      </c>
      <c r="C29" s="128"/>
      <c r="D29" s="127"/>
      <c r="E29" s="127"/>
      <c r="F29" s="127"/>
      <c r="G29" s="127"/>
      <c r="H29" s="47"/>
      <c r="I29" s="79"/>
      <c r="J29" s="121" t="str">
        <f t="shared" si="1"/>
        <v/>
      </c>
      <c r="K29" s="128"/>
      <c r="L29" s="130"/>
      <c r="M29" s="127"/>
      <c r="N29" s="127"/>
      <c r="O29" s="127"/>
      <c r="P29" s="127"/>
    </row>
    <row r="30" spans="1:16" x14ac:dyDescent="0.35">
      <c r="A30" s="79"/>
      <c r="B30" s="121" t="str">
        <f t="shared" si="0"/>
        <v/>
      </c>
      <c r="C30" s="128"/>
      <c r="D30" s="127"/>
      <c r="E30" s="127"/>
      <c r="F30" s="127"/>
      <c r="G30" s="127"/>
      <c r="H30" s="47"/>
      <c r="I30" s="79"/>
      <c r="J30" s="121" t="str">
        <f t="shared" si="1"/>
        <v/>
      </c>
      <c r="K30" s="128"/>
      <c r="L30" s="130"/>
      <c r="M30" s="127"/>
      <c r="N30" s="127"/>
      <c r="O30" s="127"/>
      <c r="P30" s="127"/>
    </row>
    <row r="31" spans="1:16" x14ac:dyDescent="0.35">
      <c r="A31" s="79"/>
      <c r="B31" s="121" t="str">
        <f t="shared" si="0"/>
        <v/>
      </c>
      <c r="C31" s="128"/>
      <c r="D31" s="127"/>
      <c r="E31" s="127"/>
      <c r="F31" s="127"/>
      <c r="G31" s="127"/>
      <c r="H31" s="47"/>
      <c r="I31" s="79"/>
      <c r="J31" s="121" t="str">
        <f t="shared" si="1"/>
        <v/>
      </c>
      <c r="K31" s="128"/>
      <c r="L31" s="130"/>
      <c r="M31" s="127"/>
      <c r="N31" s="127"/>
      <c r="O31" s="127"/>
      <c r="P31" s="127"/>
    </row>
    <row r="32" spans="1:16" x14ac:dyDescent="0.35">
      <c r="A32" s="79"/>
      <c r="B32" s="121" t="str">
        <f t="shared" si="0"/>
        <v/>
      </c>
      <c r="C32" s="128"/>
      <c r="D32" s="127"/>
      <c r="E32" s="127"/>
      <c r="F32" s="127"/>
      <c r="G32" s="127"/>
      <c r="H32" s="47"/>
      <c r="I32" s="79"/>
      <c r="J32" s="121" t="str">
        <f t="shared" si="1"/>
        <v/>
      </c>
      <c r="K32" s="128"/>
      <c r="L32" s="130"/>
      <c r="M32" s="127"/>
      <c r="N32" s="127"/>
      <c r="O32" s="127"/>
      <c r="P32" s="127"/>
    </row>
    <row r="33" spans="1:16" x14ac:dyDescent="0.35">
      <c r="A33" s="79"/>
      <c r="B33" s="121" t="str">
        <f t="shared" si="0"/>
        <v/>
      </c>
      <c r="C33" s="128"/>
      <c r="D33" s="127"/>
      <c r="E33" s="127"/>
      <c r="F33" s="127"/>
      <c r="G33" s="127"/>
      <c r="H33" s="47"/>
      <c r="I33" s="79"/>
      <c r="J33" s="121" t="str">
        <f t="shared" si="1"/>
        <v/>
      </c>
      <c r="K33" s="128"/>
      <c r="L33" s="130"/>
      <c r="M33" s="127"/>
      <c r="N33" s="127"/>
      <c r="O33" s="127"/>
      <c r="P33" s="127"/>
    </row>
    <row r="34" spans="1:16" x14ac:dyDescent="0.35">
      <c r="A34" s="79"/>
      <c r="B34" s="121" t="str">
        <f t="shared" si="0"/>
        <v/>
      </c>
      <c r="C34" s="128"/>
      <c r="D34" s="127"/>
      <c r="E34" s="127"/>
      <c r="F34" s="127"/>
      <c r="G34" s="127"/>
      <c r="H34" s="47"/>
      <c r="I34" s="79"/>
      <c r="J34" s="121" t="str">
        <f t="shared" si="1"/>
        <v/>
      </c>
      <c r="K34" s="128"/>
      <c r="L34" s="130"/>
      <c r="M34" s="127"/>
      <c r="N34" s="127"/>
      <c r="O34" s="127"/>
      <c r="P34" s="127"/>
    </row>
    <row r="35" spans="1:16" x14ac:dyDescent="0.35">
      <c r="A35" s="79"/>
      <c r="B35" s="121" t="str">
        <f t="shared" si="0"/>
        <v/>
      </c>
      <c r="C35" s="128"/>
      <c r="D35" s="127"/>
      <c r="E35" s="127"/>
      <c r="F35" s="127"/>
      <c r="G35" s="127"/>
      <c r="H35" s="47"/>
      <c r="I35" s="79"/>
      <c r="J35" s="121" t="str">
        <f t="shared" si="1"/>
        <v/>
      </c>
      <c r="K35" s="128"/>
      <c r="L35" s="130"/>
      <c r="M35" s="127"/>
      <c r="N35" s="127"/>
      <c r="O35" s="127"/>
      <c r="P35" s="127"/>
    </row>
    <row r="36" spans="1:16" x14ac:dyDescent="0.35">
      <c r="A36" s="79"/>
      <c r="B36" s="121" t="str">
        <f t="shared" si="0"/>
        <v/>
      </c>
      <c r="C36" s="128"/>
      <c r="D36" s="127"/>
      <c r="E36" s="127"/>
      <c r="F36" s="127"/>
      <c r="G36" s="127"/>
      <c r="H36" s="47"/>
      <c r="I36" s="79"/>
      <c r="J36" s="121" t="str">
        <f t="shared" si="1"/>
        <v/>
      </c>
      <c r="K36" s="128"/>
      <c r="L36" s="130"/>
      <c r="M36" s="127"/>
      <c r="N36" s="127"/>
      <c r="O36" s="127"/>
      <c r="P36" s="127"/>
    </row>
    <row r="37" spans="1:16" x14ac:dyDescent="0.35">
      <c r="A37" s="79"/>
      <c r="B37" s="121" t="str">
        <f t="shared" si="0"/>
        <v/>
      </c>
      <c r="C37" s="128"/>
      <c r="D37" s="127"/>
      <c r="E37" s="127"/>
      <c r="F37" s="127"/>
      <c r="G37" s="127"/>
      <c r="H37" s="47"/>
      <c r="I37" s="79"/>
      <c r="J37" s="121" t="str">
        <f t="shared" si="1"/>
        <v/>
      </c>
      <c r="K37" s="128"/>
      <c r="L37" s="130"/>
      <c r="M37" s="127"/>
      <c r="N37" s="127"/>
      <c r="O37" s="127"/>
      <c r="P37" s="127"/>
    </row>
    <row r="38" spans="1:16" x14ac:dyDescent="0.35">
      <c r="A38" s="79"/>
      <c r="B38" s="121" t="str">
        <f t="shared" si="0"/>
        <v/>
      </c>
      <c r="C38" s="128"/>
      <c r="D38" s="127"/>
      <c r="E38" s="127"/>
      <c r="F38" s="127"/>
      <c r="G38" s="127"/>
      <c r="H38" s="47"/>
      <c r="I38" s="79"/>
      <c r="J38" s="121" t="str">
        <f t="shared" si="1"/>
        <v/>
      </c>
      <c r="K38" s="128"/>
      <c r="L38" s="130"/>
      <c r="M38" s="127"/>
      <c r="N38" s="127"/>
      <c r="O38" s="127"/>
      <c r="P38" s="127"/>
    </row>
    <row r="39" spans="1:16" x14ac:dyDescent="0.35">
      <c r="A39" s="79"/>
      <c r="B39" s="121" t="str">
        <f t="shared" si="0"/>
        <v/>
      </c>
      <c r="C39" s="128"/>
      <c r="D39" s="127"/>
      <c r="E39" s="127"/>
      <c r="F39" s="127"/>
      <c r="G39" s="127"/>
      <c r="H39" s="47"/>
      <c r="I39" s="79"/>
      <c r="J39" s="121" t="str">
        <f t="shared" si="1"/>
        <v/>
      </c>
      <c r="K39" s="128"/>
      <c r="L39" s="130"/>
      <c r="M39" s="127"/>
      <c r="N39" s="127"/>
      <c r="O39" s="127"/>
      <c r="P39" s="127"/>
    </row>
    <row r="40" spans="1:16" x14ac:dyDescent="0.35">
      <c r="A40" s="79"/>
      <c r="B40" s="121" t="str">
        <f t="shared" si="0"/>
        <v/>
      </c>
      <c r="C40" s="128"/>
      <c r="D40" s="127"/>
      <c r="E40" s="127"/>
      <c r="F40" s="127"/>
      <c r="G40" s="127"/>
      <c r="H40" s="47"/>
      <c r="I40" s="79"/>
      <c r="J40" s="121" t="str">
        <f t="shared" si="1"/>
        <v/>
      </c>
      <c r="K40" s="128"/>
      <c r="L40" s="130"/>
      <c r="M40" s="127"/>
      <c r="N40" s="127"/>
      <c r="O40" s="127"/>
      <c r="P40" s="127"/>
    </row>
    <row r="41" spans="1:16" x14ac:dyDescent="0.35">
      <c r="A41" s="79"/>
      <c r="B41" s="121" t="str">
        <f t="shared" si="0"/>
        <v/>
      </c>
      <c r="C41" s="128"/>
      <c r="D41" s="127"/>
      <c r="E41" s="127"/>
      <c r="F41" s="127"/>
      <c r="G41" s="127"/>
      <c r="H41" s="47"/>
      <c r="I41" s="79"/>
      <c r="J41" s="121" t="str">
        <f t="shared" si="1"/>
        <v/>
      </c>
      <c r="K41" s="128"/>
      <c r="L41" s="130"/>
      <c r="M41" s="127"/>
      <c r="N41" s="127"/>
      <c r="O41" s="127"/>
      <c r="P41" s="127"/>
    </row>
    <row r="42" spans="1:16" x14ac:dyDescent="0.35">
      <c r="A42" s="79"/>
      <c r="B42" s="121" t="str">
        <f t="shared" si="0"/>
        <v/>
      </c>
      <c r="C42" s="128"/>
      <c r="D42" s="127"/>
      <c r="E42" s="127"/>
      <c r="F42" s="127"/>
      <c r="G42" s="127"/>
      <c r="H42" s="47"/>
      <c r="I42" s="79"/>
      <c r="J42" s="121" t="str">
        <f t="shared" si="1"/>
        <v/>
      </c>
      <c r="K42" s="128"/>
      <c r="L42" s="130"/>
      <c r="M42" s="127"/>
      <c r="N42" s="127"/>
      <c r="O42" s="127"/>
      <c r="P42" s="127"/>
    </row>
    <row r="43" spans="1:16" x14ac:dyDescent="0.35">
      <c r="A43" s="79"/>
      <c r="B43" s="121" t="str">
        <f t="shared" si="0"/>
        <v/>
      </c>
      <c r="C43" s="128"/>
      <c r="D43" s="127"/>
      <c r="E43" s="127"/>
      <c r="F43" s="127"/>
      <c r="G43" s="127"/>
      <c r="H43" s="47"/>
      <c r="I43" s="79"/>
      <c r="J43" s="121" t="str">
        <f t="shared" si="1"/>
        <v/>
      </c>
      <c r="K43" s="128"/>
      <c r="L43" s="130"/>
      <c r="M43" s="127"/>
      <c r="N43" s="127"/>
      <c r="O43" s="127"/>
      <c r="P43" s="127"/>
    </row>
    <row r="44" spans="1:16" x14ac:dyDescent="0.35">
      <c r="A44" s="79"/>
      <c r="B44" s="121" t="str">
        <f t="shared" si="0"/>
        <v/>
      </c>
      <c r="C44" s="128"/>
      <c r="D44" s="127"/>
      <c r="E44" s="127"/>
      <c r="F44" s="127"/>
      <c r="G44" s="127"/>
      <c r="H44" s="47"/>
      <c r="I44" s="79"/>
      <c r="J44" s="121" t="str">
        <f t="shared" si="1"/>
        <v/>
      </c>
      <c r="K44" s="128"/>
      <c r="L44" s="130"/>
      <c r="M44" s="127"/>
      <c r="N44" s="127"/>
      <c r="O44" s="127"/>
      <c r="P44" s="127"/>
    </row>
    <row r="45" spans="1:16" x14ac:dyDescent="0.35">
      <c r="A45" s="79"/>
      <c r="B45" s="121" t="str">
        <f t="shared" si="0"/>
        <v/>
      </c>
      <c r="C45" s="128"/>
      <c r="D45" s="127"/>
      <c r="E45" s="127"/>
      <c r="F45" s="127"/>
      <c r="G45" s="127"/>
      <c r="H45" s="47"/>
      <c r="I45" s="79"/>
      <c r="J45" s="121" t="str">
        <f t="shared" si="1"/>
        <v/>
      </c>
      <c r="K45" s="128"/>
      <c r="L45" s="130"/>
      <c r="M45" s="127"/>
      <c r="N45" s="127"/>
      <c r="O45" s="127"/>
      <c r="P45" s="127"/>
    </row>
    <row r="46" spans="1:16" ht="13.15" thickBot="1" x14ac:dyDescent="0.4">
      <c r="A46" s="79"/>
      <c r="B46" s="121" t="str">
        <f t="shared" si="0"/>
        <v/>
      </c>
      <c r="C46" s="128"/>
      <c r="D46" s="127"/>
      <c r="E46" s="129"/>
      <c r="F46" s="129"/>
      <c r="G46" s="129"/>
      <c r="H46" s="47"/>
      <c r="I46" s="79"/>
      <c r="J46" s="121" t="str">
        <f t="shared" si="1"/>
        <v/>
      </c>
      <c r="K46" s="128"/>
      <c r="L46" s="130"/>
      <c r="M46" s="127"/>
      <c r="N46" s="127"/>
      <c r="O46" s="127"/>
      <c r="P46" s="129"/>
    </row>
    <row r="47" spans="1:16" ht="13.5" thickTop="1" thickBot="1" x14ac:dyDescent="0.4">
      <c r="A47" s="122"/>
      <c r="B47" s="205" t="s">
        <v>185</v>
      </c>
      <c r="C47" s="206"/>
      <c r="D47" s="123">
        <f>ROUND(SUM(D16:D46),2)</f>
        <v>0</v>
      </c>
      <c r="E47" s="123">
        <f>ROUND(SUM(E16:E46),2)</f>
        <v>0</v>
      </c>
      <c r="F47" s="123">
        <f>ROUND(SUM(F16:F46),2)</f>
        <v>0</v>
      </c>
      <c r="G47" s="123">
        <f>ROUND(SUM(G16:G46),2)</f>
        <v>0</v>
      </c>
      <c r="H47" s="47"/>
      <c r="I47" s="122"/>
      <c r="J47" s="205" t="s">
        <v>185</v>
      </c>
      <c r="K47" s="206"/>
      <c r="L47" s="123">
        <f>ROUND(SUM(L16:L46),2)</f>
        <v>0</v>
      </c>
      <c r="M47" s="123">
        <f>ROUND(SUM(M16:M46),2)</f>
        <v>0</v>
      </c>
      <c r="N47" s="123">
        <f>ROUND(SUM(N16:N46),2)</f>
        <v>0</v>
      </c>
      <c r="O47" s="123">
        <f>ROUND(SUM(O16:O46),2)</f>
        <v>0</v>
      </c>
      <c r="P47" s="123">
        <f>ROUND(SUM(P16:P46),2)</f>
        <v>0</v>
      </c>
    </row>
    <row r="48" spans="1:16" ht="13.15" thickTop="1" x14ac:dyDescent="0.35">
      <c r="A48" s="66" t="str">
        <f>Check!B40</f>
        <v>There were no transfer outs during the year and therefore no need to complete the following section relating to balances after transfer.</v>
      </c>
      <c r="B48" s="47"/>
      <c r="C48" s="47"/>
      <c r="D48" s="47"/>
      <c r="E48" s="47"/>
      <c r="F48" s="47"/>
      <c r="G48" s="47"/>
      <c r="H48" s="47"/>
      <c r="I48" s="47"/>
      <c r="J48" s="47"/>
      <c r="K48" s="47"/>
      <c r="L48" s="47"/>
      <c r="M48" s="47"/>
      <c r="N48" s="47"/>
      <c r="O48" s="47"/>
      <c r="P48" s="47"/>
    </row>
    <row r="49" spans="1:16" x14ac:dyDescent="0.35">
      <c r="A49" s="66" t="str">
        <f>Check!B42</f>
        <v/>
      </c>
      <c r="B49" s="47"/>
      <c r="C49" s="47"/>
      <c r="D49" s="47"/>
      <c r="E49" s="47"/>
      <c r="F49" s="47"/>
      <c r="G49" s="47"/>
      <c r="H49" s="47"/>
      <c r="I49" s="47"/>
      <c r="J49" s="47"/>
      <c r="K49" s="47"/>
      <c r="L49" s="47"/>
      <c r="M49" s="47"/>
      <c r="N49" s="47"/>
      <c r="O49" s="47"/>
      <c r="P49" s="47"/>
    </row>
    <row r="50" spans="1:16" x14ac:dyDescent="0.35">
      <c r="A50" s="66" t="str">
        <f>Check!B41</f>
        <v/>
      </c>
    </row>
    <row r="51" spans="1:16" x14ac:dyDescent="0.35">
      <c r="A51" s="47"/>
      <c r="B51" s="47"/>
      <c r="C51" s="47"/>
      <c r="D51" s="194" t="s">
        <v>265</v>
      </c>
      <c r="E51" s="195"/>
      <c r="F51" s="195"/>
      <c r="G51" s="196"/>
      <c r="H51" s="47"/>
      <c r="I51" s="47"/>
      <c r="J51" s="47"/>
      <c r="K51" s="47"/>
      <c r="L51" s="194" t="s">
        <v>265</v>
      </c>
      <c r="M51" s="197"/>
      <c r="N51" s="197"/>
      <c r="O51" s="197"/>
      <c r="P51" s="198"/>
    </row>
    <row r="52" spans="1:16" x14ac:dyDescent="0.35">
      <c r="A52" s="124" t="s">
        <v>179</v>
      </c>
      <c r="B52" s="124" t="s">
        <v>207</v>
      </c>
      <c r="C52" s="124" t="s">
        <v>208</v>
      </c>
      <c r="D52" s="121" t="str">
        <f>D13</f>
        <v>N/A</v>
      </c>
      <c r="E52" s="121" t="str">
        <f>E13</f>
        <v>N/A</v>
      </c>
      <c r="F52" s="121" t="str">
        <f>F13</f>
        <v>N/A</v>
      </c>
      <c r="G52" s="121" t="str">
        <f>G13</f>
        <v>N/A</v>
      </c>
      <c r="H52" s="47"/>
      <c r="I52" s="124" t="s">
        <v>179</v>
      </c>
      <c r="J52" s="124" t="s">
        <v>207</v>
      </c>
      <c r="K52" s="124" t="s">
        <v>208</v>
      </c>
      <c r="L52" s="121" t="str">
        <f>L13</f>
        <v>N/A</v>
      </c>
      <c r="M52" s="121" t="str">
        <f>M13</f>
        <v>N/A</v>
      </c>
      <c r="N52" s="121" t="str">
        <f>N13</f>
        <v>N/A</v>
      </c>
      <c r="O52" s="121" t="str">
        <f>O13</f>
        <v>N/A</v>
      </c>
      <c r="P52" s="121" t="str">
        <f>IF('Fund &amp; Member Details'!F57&lt;&gt;"",'Fund &amp; Member Details'!F57,"N/A")</f>
        <v>Reserve</v>
      </c>
    </row>
    <row r="53" spans="1:16" x14ac:dyDescent="0.35">
      <c r="A53" s="79"/>
      <c r="B53" s="121" t="str">
        <f t="shared" ref="B53:B58" si="2">IF(A53&lt;&gt;"",VLOOKUP(A53,$I$72:$J$74,2,FALSE),"")</f>
        <v/>
      </c>
      <c r="C53" s="128"/>
      <c r="D53" s="127"/>
      <c r="E53" s="127"/>
      <c r="F53" s="127"/>
      <c r="G53" s="127"/>
      <c r="H53" s="47"/>
      <c r="I53" s="79"/>
      <c r="J53" s="121" t="str">
        <f>IF(I53&lt;&gt;"",VLOOKUP(I53,$M$72:N75,2,FALSE),"")</f>
        <v/>
      </c>
      <c r="K53" s="128"/>
      <c r="L53" s="127"/>
      <c r="M53" s="127"/>
      <c r="N53" s="127"/>
      <c r="O53" s="127"/>
      <c r="P53" s="127"/>
    </row>
    <row r="54" spans="1:16" x14ac:dyDescent="0.35">
      <c r="A54" s="79"/>
      <c r="B54" s="121" t="str">
        <f t="shared" si="2"/>
        <v/>
      </c>
      <c r="C54" s="128"/>
      <c r="D54" s="127"/>
      <c r="E54" s="127"/>
      <c r="F54" s="127"/>
      <c r="G54" s="127"/>
      <c r="H54" s="47"/>
      <c r="I54" s="79"/>
      <c r="J54" s="121" t="str">
        <f>IF(I54&lt;&gt;"",VLOOKUP(I54,$M$72:N76,2,FALSE),"")</f>
        <v/>
      </c>
      <c r="K54" s="128"/>
      <c r="L54" s="127"/>
      <c r="M54" s="127"/>
      <c r="N54" s="127"/>
      <c r="O54" s="127"/>
      <c r="P54" s="127"/>
    </row>
    <row r="55" spans="1:16" x14ac:dyDescent="0.35">
      <c r="A55" s="79"/>
      <c r="B55" s="121" t="str">
        <f t="shared" si="2"/>
        <v/>
      </c>
      <c r="C55" s="128"/>
      <c r="D55" s="127"/>
      <c r="E55" s="127"/>
      <c r="F55" s="127"/>
      <c r="G55" s="127"/>
      <c r="H55" s="47"/>
      <c r="I55" s="79"/>
      <c r="J55" s="121" t="str">
        <f>IF(I55&lt;&gt;"",VLOOKUP(I55,$M$72:N77,2,FALSE),"")</f>
        <v/>
      </c>
      <c r="K55" s="128"/>
      <c r="L55" s="127"/>
      <c r="M55" s="127"/>
      <c r="N55" s="127"/>
      <c r="O55" s="127"/>
      <c r="P55" s="127"/>
    </row>
    <row r="56" spans="1:16" x14ac:dyDescent="0.35">
      <c r="A56" s="79"/>
      <c r="B56" s="121" t="str">
        <f t="shared" si="2"/>
        <v/>
      </c>
      <c r="C56" s="128"/>
      <c r="D56" s="127"/>
      <c r="E56" s="127"/>
      <c r="F56" s="127"/>
      <c r="G56" s="127"/>
      <c r="H56" s="47"/>
      <c r="I56" s="79"/>
      <c r="J56" s="121" t="str">
        <f>IF(I56&lt;&gt;"",VLOOKUP(I56,$M$72:N78,2,FALSE),"")</f>
        <v/>
      </c>
      <c r="K56" s="128"/>
      <c r="L56" s="127"/>
      <c r="M56" s="127"/>
      <c r="N56" s="127"/>
      <c r="O56" s="127"/>
      <c r="P56" s="127"/>
    </row>
    <row r="57" spans="1:16" x14ac:dyDescent="0.35">
      <c r="A57" s="79"/>
      <c r="B57" s="121" t="str">
        <f t="shared" si="2"/>
        <v/>
      </c>
      <c r="C57" s="128"/>
      <c r="D57" s="127"/>
      <c r="E57" s="127"/>
      <c r="F57" s="127"/>
      <c r="G57" s="127"/>
      <c r="H57" s="47"/>
      <c r="I57" s="79"/>
      <c r="J57" s="121" t="str">
        <f>IF(I57&lt;&gt;"",VLOOKUP(I57,$M$72:N79,2,FALSE),"")</f>
        <v/>
      </c>
      <c r="K57" s="127"/>
      <c r="L57" s="127"/>
      <c r="M57" s="127"/>
      <c r="N57" s="127"/>
      <c r="O57" s="127"/>
      <c r="P57" s="127"/>
    </row>
    <row r="58" spans="1:16" x14ac:dyDescent="0.35">
      <c r="A58" s="79"/>
      <c r="B58" s="121" t="str">
        <f t="shared" si="2"/>
        <v/>
      </c>
      <c r="C58" s="128"/>
      <c r="D58" s="127"/>
      <c r="E58" s="127"/>
      <c r="F58" s="127"/>
      <c r="G58" s="127"/>
      <c r="H58" s="47"/>
      <c r="I58" s="79"/>
      <c r="J58" s="121" t="str">
        <f>IF(I58&lt;&gt;"",VLOOKUP(I58,$M$72:N80,2,FALSE),"")</f>
        <v/>
      </c>
      <c r="K58" s="128"/>
      <c r="L58" s="127"/>
      <c r="M58" s="127"/>
      <c r="N58" s="127"/>
      <c r="O58" s="127"/>
      <c r="P58" s="127"/>
    </row>
    <row r="59" spans="1:16" x14ac:dyDescent="0.35">
      <c r="A59" s="66" t="str">
        <f>Check!B52</f>
        <v/>
      </c>
      <c r="B59" s="47"/>
      <c r="C59" s="47"/>
      <c r="D59" s="47"/>
      <c r="E59" s="47"/>
      <c r="F59" s="47"/>
      <c r="G59" s="47"/>
      <c r="H59" s="47"/>
      <c r="I59" s="47"/>
      <c r="J59" s="47"/>
      <c r="K59" s="47"/>
      <c r="L59" s="47"/>
      <c r="M59" s="47"/>
      <c r="N59" s="47"/>
      <c r="O59" s="47"/>
      <c r="P59" s="47"/>
    </row>
    <row r="60" spans="1:16" x14ac:dyDescent="0.35">
      <c r="A60" s="70" t="s">
        <v>285</v>
      </c>
      <c r="B60" s="47"/>
      <c r="C60" s="47"/>
      <c r="D60" s="47"/>
      <c r="E60" s="47"/>
      <c r="F60" s="47"/>
      <c r="G60" s="47"/>
      <c r="H60" s="47"/>
      <c r="I60" s="47"/>
      <c r="J60" s="47"/>
      <c r="K60" s="47"/>
      <c r="L60" s="47"/>
      <c r="M60" s="47"/>
      <c r="N60" s="47"/>
      <c r="O60" s="47"/>
      <c r="P60" s="47"/>
    </row>
    <row r="61" spans="1:16" ht="13.15" thickBot="1" x14ac:dyDescent="0.4">
      <c r="A61" s="66" t="str">
        <f>Check!B53</f>
        <v/>
      </c>
      <c r="B61" s="47"/>
      <c r="C61" s="47"/>
      <c r="D61" s="47"/>
      <c r="E61" s="47"/>
      <c r="F61" s="47"/>
      <c r="G61" s="47"/>
      <c r="H61" s="47"/>
      <c r="I61" s="47"/>
      <c r="J61" s="47"/>
      <c r="K61" s="47"/>
      <c r="L61" s="47"/>
      <c r="M61" s="47"/>
      <c r="N61" s="47"/>
      <c r="O61" s="47"/>
      <c r="P61" s="47"/>
    </row>
    <row r="62" spans="1:16" ht="13.15" thickTop="1" x14ac:dyDescent="0.35">
      <c r="A62" s="109" t="s">
        <v>192</v>
      </c>
      <c r="B62" s="125"/>
      <c r="C62" s="125"/>
      <c r="D62" s="125"/>
      <c r="E62" s="125"/>
      <c r="F62" s="125"/>
      <c r="G62" s="126"/>
      <c r="I62" s="109" t="s">
        <v>192</v>
      </c>
      <c r="J62" s="125"/>
      <c r="K62" s="125"/>
      <c r="L62" s="125"/>
      <c r="M62" s="125"/>
      <c r="N62" s="125"/>
      <c r="O62" s="125"/>
      <c r="P62" s="126"/>
    </row>
    <row r="63" spans="1:16" x14ac:dyDescent="0.35">
      <c r="A63" s="192"/>
      <c r="B63" s="185"/>
      <c r="C63" s="185"/>
      <c r="D63" s="185"/>
      <c r="E63" s="185"/>
      <c r="F63" s="185"/>
      <c r="G63" s="186"/>
      <c r="I63" s="193"/>
      <c r="J63" s="185"/>
      <c r="K63" s="185"/>
      <c r="L63" s="185"/>
      <c r="M63" s="185"/>
      <c r="N63" s="185"/>
      <c r="O63" s="185"/>
      <c r="P63" s="186"/>
    </row>
    <row r="64" spans="1:16" x14ac:dyDescent="0.35">
      <c r="A64" s="187"/>
      <c r="B64" s="185"/>
      <c r="C64" s="185"/>
      <c r="D64" s="185"/>
      <c r="E64" s="185"/>
      <c r="F64" s="185"/>
      <c r="G64" s="186"/>
      <c r="I64" s="187"/>
      <c r="J64" s="185"/>
      <c r="K64" s="185"/>
      <c r="L64" s="185"/>
      <c r="M64" s="185"/>
      <c r="N64" s="185"/>
      <c r="O64" s="185"/>
      <c r="P64" s="186"/>
    </row>
    <row r="65" spans="1:16" x14ac:dyDescent="0.35">
      <c r="A65" s="187"/>
      <c r="B65" s="185"/>
      <c r="C65" s="185"/>
      <c r="D65" s="185"/>
      <c r="E65" s="185"/>
      <c r="F65" s="185"/>
      <c r="G65" s="186"/>
      <c r="I65" s="187"/>
      <c r="J65" s="185"/>
      <c r="K65" s="185"/>
      <c r="L65" s="185"/>
      <c r="M65" s="185"/>
      <c r="N65" s="185"/>
      <c r="O65" s="185"/>
      <c r="P65" s="186"/>
    </row>
    <row r="66" spans="1:16" x14ac:dyDescent="0.35">
      <c r="A66" s="187"/>
      <c r="B66" s="185"/>
      <c r="C66" s="185"/>
      <c r="D66" s="185"/>
      <c r="E66" s="185"/>
      <c r="F66" s="185"/>
      <c r="G66" s="186"/>
      <c r="I66" s="187"/>
      <c r="J66" s="185"/>
      <c r="K66" s="185"/>
      <c r="L66" s="185"/>
      <c r="M66" s="185"/>
      <c r="N66" s="185"/>
      <c r="O66" s="185"/>
      <c r="P66" s="186"/>
    </row>
    <row r="67" spans="1:16" ht="13.15" thickBot="1" x14ac:dyDescent="0.4">
      <c r="A67" s="188"/>
      <c r="B67" s="189"/>
      <c r="C67" s="189"/>
      <c r="D67" s="189"/>
      <c r="E67" s="189"/>
      <c r="F67" s="189"/>
      <c r="G67" s="190"/>
      <c r="I67" s="188"/>
      <c r="J67" s="189"/>
      <c r="K67" s="189"/>
      <c r="L67" s="189"/>
      <c r="M67" s="189"/>
      <c r="N67" s="189"/>
      <c r="O67" s="189"/>
      <c r="P67" s="190"/>
    </row>
    <row r="68" spans="1:16" ht="13.15" thickTop="1" x14ac:dyDescent="0.35"/>
    <row r="71" spans="1:16" customFormat="1" hidden="1" x14ac:dyDescent="0.35">
      <c r="A71" s="25"/>
      <c r="B71" t="s">
        <v>54</v>
      </c>
      <c r="E71" s="78" t="s">
        <v>227</v>
      </c>
      <c r="F71" s="25"/>
      <c r="G71" s="25"/>
      <c r="I71" s="25" t="s">
        <v>214</v>
      </c>
      <c r="M71" s="25" t="s">
        <v>228</v>
      </c>
    </row>
    <row r="72" spans="1:16" customFormat="1" hidden="1" x14ac:dyDescent="0.35">
      <c r="A72" s="25" t="s">
        <v>164</v>
      </c>
      <c r="B72" t="s">
        <v>171</v>
      </c>
      <c r="C72" t="s">
        <v>172</v>
      </c>
      <c r="E72" t="s">
        <v>173</v>
      </c>
      <c r="F72" s="25" t="s">
        <v>170</v>
      </c>
      <c r="G72" s="25"/>
      <c r="I72" s="25" t="s">
        <v>231</v>
      </c>
      <c r="J72" s="25" t="s">
        <v>229</v>
      </c>
      <c r="M72" s="25" t="s">
        <v>232</v>
      </c>
      <c r="N72" s="25" t="s">
        <v>230</v>
      </c>
    </row>
    <row r="73" spans="1:16" customFormat="1" hidden="1" x14ac:dyDescent="0.35">
      <c r="A73" s="25"/>
      <c r="B73" t="s">
        <v>174</v>
      </c>
      <c r="C73" t="s">
        <v>177</v>
      </c>
      <c r="E73" t="s">
        <v>174</v>
      </c>
      <c r="F73" t="s">
        <v>177</v>
      </c>
      <c r="G73" s="25"/>
      <c r="I73" s="25" t="s">
        <v>211</v>
      </c>
      <c r="J73" s="25" t="s">
        <v>212</v>
      </c>
      <c r="M73" s="25" t="s">
        <v>209</v>
      </c>
      <c r="N73" s="25" t="s">
        <v>210</v>
      </c>
    </row>
    <row r="74" spans="1:16" customFormat="1" hidden="1" x14ac:dyDescent="0.35">
      <c r="A74" s="25"/>
      <c r="B74" t="s">
        <v>175</v>
      </c>
      <c r="C74" t="s">
        <v>178</v>
      </c>
      <c r="E74" t="s">
        <v>175</v>
      </c>
      <c r="F74" t="s">
        <v>178</v>
      </c>
      <c r="G74" s="25"/>
      <c r="I74" s="25" t="s">
        <v>176</v>
      </c>
      <c r="J74" s="25" t="s">
        <v>213</v>
      </c>
      <c r="M74" s="25" t="s">
        <v>211</v>
      </c>
      <c r="N74" s="25" t="s">
        <v>212</v>
      </c>
    </row>
    <row r="75" spans="1:16" customFormat="1" hidden="1" x14ac:dyDescent="0.35">
      <c r="A75" s="25"/>
      <c r="B75" t="s">
        <v>176</v>
      </c>
      <c r="C75" t="s">
        <v>69</v>
      </c>
      <c r="E75" t="s">
        <v>176</v>
      </c>
      <c r="F75" t="s">
        <v>69</v>
      </c>
      <c r="G75" s="25"/>
      <c r="I75" s="25"/>
      <c r="J75" s="25"/>
      <c r="M75" s="25" t="s">
        <v>176</v>
      </c>
      <c r="N75" s="25" t="s">
        <v>213</v>
      </c>
    </row>
  </sheetData>
  <sheetProtection password="C7DC" sheet="1" objects="1" scenarios="1"/>
  <dataConsolidate/>
  <mergeCells count="10">
    <mergeCell ref="A63:G67"/>
    <mergeCell ref="I63:P67"/>
    <mergeCell ref="D51:G51"/>
    <mergeCell ref="L51:P51"/>
    <mergeCell ref="D11:G11"/>
    <mergeCell ref="B14:C14"/>
    <mergeCell ref="J14:K14"/>
    <mergeCell ref="L11:P11"/>
    <mergeCell ref="B47:C47"/>
    <mergeCell ref="J47:K47"/>
  </mergeCells>
  <dataValidations xWindow="761" yWindow="608" count="6">
    <dataValidation type="date" allowBlank="1" showInputMessage="1" showErrorMessage="1" errorTitle="Invalid Date" error="Outside Valid Date Range_x000a_" promptTitle="Date Of Transaction" prompt="Must be in 2017 financial year and in dd/mm/yy format" sqref="C18:C46 K18:K46">
      <formula1>42552</formula1>
      <formula2>42916</formula2>
    </dataValidation>
    <dataValidation type="list" allowBlank="1" showInputMessage="1" showErrorMessage="1" errorTitle="Invalid Code" error="Select valid code" promptTitle="Transfer Type" prompt="N2P - Non-Pension to Pension_x000a_CS - Contribution Split_x000a_AR - Alloc to/from Reserve_x000a_OT - Other" sqref="I53:I58">
      <formula1>$M$72:$M$75</formula1>
    </dataValidation>
    <dataValidation type="date" allowBlank="1" showInputMessage="1" showErrorMessage="1" errorTitle="Invalid Date" error="Date must be in financial year" promptTitle="Date of Transfer" prompt="Must be in 2017 financial year (dd/mm/yy format)" sqref="C53:C58 K53:K58">
      <formula1>42552</formula1>
      <formula2>42916</formula2>
    </dataValidation>
    <dataValidation type="list" allowBlank="1" showInputMessage="1" showErrorMessage="1" errorTitle="Invalid Code" error="Select valid code" promptTitle="Transfer Type" prompt="P2N - Pension to Non-Pension_x000a_AR - Alloc to/from Reserve_x000a_OT - Other" sqref="A53:A58">
      <formula1>$I$72:$I$74</formula1>
    </dataValidation>
    <dataValidation type="list" allowBlank="1" showInputMessage="1" showErrorMessage="1" errorTitle="Source Code Error" error="Select Valid Code" promptTitle="Select code or type 2 letters" prompt="CO - Contribution_x000a_TI - Transfer In (Incl R/Os)_x000a_TO - Transfer Out (Incl R/O)s &amp; Benefit Payments)_x000a_OT - Other" sqref="I18:I46">
      <formula1>$E$72:$E$75</formula1>
    </dataValidation>
    <dataValidation type="list" allowBlank="1" showInputMessage="1" showErrorMessage="1" errorTitle="Source Code Error" error="Select valid code" promptTitle="Select Code or type 2 letters" prompt="PP - Pension Payment_x000a_TI - Transfer In (Incl R/Os)_x000a_TO - Transfer Out (Incl R/Os &amp; Benefit Payments)_x000a_OT - Other" sqref="A18:A46">
      <formula1>$B$72:$B$75</formula1>
    </dataValidation>
  </dataValidations>
  <pageMargins left="0.25" right="0.25" top="0.75" bottom="0.75" header="0.3" footer="0.3"/>
  <pageSetup paperSize="9" orientation="landscape"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62"/>
  <sheetViews>
    <sheetView workbookViewId="0">
      <selection activeCell="B10" sqref="B10"/>
    </sheetView>
  </sheetViews>
  <sheetFormatPr defaultColWidth="9.1328125" defaultRowHeight="12.75" x14ac:dyDescent="0.35"/>
  <cols>
    <col min="1" max="1" width="46.1328125" style="26" customWidth="1"/>
    <col min="2" max="5" width="17.73046875" style="26" customWidth="1"/>
    <col min="6" max="16384" width="9.1328125" style="26"/>
  </cols>
  <sheetData>
    <row r="1" spans="1:9" ht="15" x14ac:dyDescent="0.4">
      <c r="A1" s="137" t="s">
        <v>288</v>
      </c>
    </row>
    <row r="2" spans="1:9" x14ac:dyDescent="0.35">
      <c r="A2" s="96" t="s">
        <v>235</v>
      </c>
      <c r="B2" s="47"/>
      <c r="C2" s="47"/>
      <c r="D2" s="47"/>
      <c r="E2" s="47"/>
    </row>
    <row r="3" spans="1:9" x14ac:dyDescent="0.35">
      <c r="F3" s="90"/>
      <c r="G3" s="90"/>
      <c r="H3" s="91"/>
      <c r="I3" s="91"/>
    </row>
    <row r="4" spans="1:9" ht="13.15" thickBot="1" x14ac:dyDescent="0.4">
      <c r="A4" s="70" t="s">
        <v>326</v>
      </c>
      <c r="B4" s="47"/>
      <c r="C4" s="47"/>
      <c r="D4" s="47"/>
      <c r="E4" s="47"/>
    </row>
    <row r="5" spans="1:9" x14ac:dyDescent="0.35">
      <c r="A5" s="131" t="s">
        <v>223</v>
      </c>
      <c r="B5" s="53"/>
      <c r="C5" s="53"/>
      <c r="D5" s="53"/>
      <c r="E5" s="53"/>
    </row>
    <row r="6" spans="1:9" x14ac:dyDescent="0.35">
      <c r="A6" s="132" t="s">
        <v>81</v>
      </c>
      <c r="B6" s="58" t="s">
        <v>108</v>
      </c>
      <c r="C6" s="58" t="s">
        <v>109</v>
      </c>
      <c r="D6" s="98" t="s">
        <v>181</v>
      </c>
      <c r="E6" s="98" t="s">
        <v>111</v>
      </c>
    </row>
    <row r="7" spans="1:9" ht="13.15" thickBot="1" x14ac:dyDescent="0.4">
      <c r="A7" s="94" t="s">
        <v>107</v>
      </c>
      <c r="B7" s="170" t="str">
        <f>IF('Fund &amp; Member Details'!B37&lt;&gt;"",'Fund &amp; Member Details'!B37,"")</f>
        <v/>
      </c>
      <c r="C7" s="170" t="str">
        <f>IF('Fund &amp; Member Details'!C37&lt;&gt;"",'Fund &amp; Member Details'!C37,"")</f>
        <v/>
      </c>
      <c r="D7" s="170" t="str">
        <f>IF('Fund &amp; Member Details'!D37&lt;&gt;"",'Fund &amp; Member Details'!D37,"")</f>
        <v/>
      </c>
      <c r="E7" s="170" t="str">
        <f>IF('Fund &amp; Member Details'!E37&lt;&gt;"",'Fund &amp; Member Details'!E37,"")</f>
        <v/>
      </c>
    </row>
    <row r="8" spans="1:9" x14ac:dyDescent="0.35">
      <c r="A8" s="133" t="s">
        <v>1</v>
      </c>
      <c r="B8" s="168" t="str">
        <f>IF('Fund &amp; Member Details'!B38&lt;&gt;"",'Fund &amp; Member Details'!B38,"")</f>
        <v/>
      </c>
      <c r="C8" s="169" t="str">
        <f>IF('Fund &amp; Member Details'!C38&lt;&gt;"",'Fund &amp; Member Details'!C38,"")</f>
        <v/>
      </c>
      <c r="D8" s="169" t="str">
        <f>IF('Fund &amp; Member Details'!D38&lt;&gt;"",'Fund &amp; Member Details'!D38,"")</f>
        <v/>
      </c>
      <c r="E8" s="166" t="str">
        <f>IF('Fund &amp; Member Details'!E38&lt;&gt;"",'Fund &amp; Member Details'!E38,"")</f>
        <v/>
      </c>
      <c r="F8" s="139"/>
    </row>
    <row r="9" spans="1:9" x14ac:dyDescent="0.35">
      <c r="A9" s="133" t="s">
        <v>339</v>
      </c>
      <c r="B9" s="57">
        <v>42552</v>
      </c>
      <c r="C9" s="57">
        <v>42552</v>
      </c>
      <c r="D9" s="57">
        <v>42552</v>
      </c>
      <c r="E9" s="57">
        <v>42552</v>
      </c>
    </row>
    <row r="10" spans="1:9" x14ac:dyDescent="0.35">
      <c r="A10" s="133" t="s">
        <v>113</v>
      </c>
      <c r="B10" s="56" t="str">
        <f>IF('Fund &amp; Member Details'!B47&gt;0,'Fund &amp; Member Details'!B47,"")</f>
        <v/>
      </c>
      <c r="C10" s="56" t="str">
        <f>IF('Fund &amp; Member Details'!C47&gt;0,'Fund &amp; Member Details'!C47,"")</f>
        <v/>
      </c>
      <c r="D10" s="56" t="str">
        <f>IF('Fund &amp; Member Details'!D47&gt;0,'Fund &amp; Member Details'!D47,"")</f>
        <v/>
      </c>
      <c r="E10" s="56" t="str">
        <f>IF('Fund &amp; Member Details'!E47&gt;0,'Fund &amp; Member Details'!E47,"")</f>
        <v/>
      </c>
    </row>
    <row r="11" spans="1:9" x14ac:dyDescent="0.35">
      <c r="A11" s="133" t="s">
        <v>73</v>
      </c>
      <c r="B11" s="59" t="s">
        <v>56</v>
      </c>
      <c r="C11" s="59" t="s">
        <v>56</v>
      </c>
      <c r="D11" s="59" t="s">
        <v>56</v>
      </c>
      <c r="E11" s="59" t="s">
        <v>56</v>
      </c>
    </row>
    <row r="12" spans="1:9" x14ac:dyDescent="0.35">
      <c r="A12" s="133" t="s">
        <v>115</v>
      </c>
      <c r="B12" s="57"/>
      <c r="C12" s="57"/>
      <c r="D12" s="57"/>
      <c r="E12" s="57"/>
    </row>
    <row r="13" spans="1:9" ht="13.15" thickBot="1" x14ac:dyDescent="0.4">
      <c r="A13" s="133" t="s">
        <v>68</v>
      </c>
      <c r="B13" s="56">
        <f>IF(B10&lt;&gt;"",-'Fund &amp; Member Details'!B48,0)</f>
        <v>0</v>
      </c>
      <c r="C13" s="56">
        <f>IF(C10&lt;&gt;"",-'Fund &amp; Member Details'!C48,0)</f>
        <v>0</v>
      </c>
      <c r="D13" s="56">
        <f>IF(D10&lt;&gt;"",-'Fund &amp; Member Details'!D48,0)</f>
        <v>0</v>
      </c>
      <c r="E13" s="56">
        <f>IF(E10&lt;&gt;"",-'Fund &amp; Member Details'!E48,0)</f>
        <v>0</v>
      </c>
    </row>
    <row r="14" spans="1:9" x14ac:dyDescent="0.35">
      <c r="A14" s="133" t="s">
        <v>82</v>
      </c>
      <c r="B14" s="134">
        <f>DATA!K15</f>
        <v>0</v>
      </c>
      <c r="C14" s="134">
        <f>DATA!L15</f>
        <v>0</v>
      </c>
      <c r="D14" s="134">
        <f>DATA!M15</f>
        <v>0</v>
      </c>
      <c r="E14" s="134">
        <f>DATA!N15</f>
        <v>0</v>
      </c>
    </row>
    <row r="15" spans="1:9" x14ac:dyDescent="0.35">
      <c r="A15" s="133" t="s">
        <v>83</v>
      </c>
      <c r="B15" s="135">
        <f>DATA!K16</f>
        <v>0</v>
      </c>
      <c r="C15" s="135">
        <f>DATA!L16</f>
        <v>0</v>
      </c>
      <c r="D15" s="135">
        <f>DATA!M16</f>
        <v>0</v>
      </c>
      <c r="E15" s="135">
        <f>DATA!N16</f>
        <v>0</v>
      </c>
    </row>
    <row r="16" spans="1:9" ht="13.15" thickBot="1" x14ac:dyDescent="0.4">
      <c r="A16" s="133" t="s">
        <v>132</v>
      </c>
      <c r="B16" s="136" t="str">
        <f>DATA!K67</f>
        <v>OK</v>
      </c>
      <c r="C16" s="136" t="str">
        <f>DATA!L67</f>
        <v>OK</v>
      </c>
      <c r="D16" s="136" t="str">
        <f>DATA!M67</f>
        <v>OK</v>
      </c>
      <c r="E16" s="136" t="str">
        <f>DATA!N67</f>
        <v>OK</v>
      </c>
    </row>
    <row r="17" spans="1:5" x14ac:dyDescent="0.35">
      <c r="A17" s="66" t="str">
        <f>Check!B57</f>
        <v/>
      </c>
      <c r="B17" s="47"/>
      <c r="C17" s="47"/>
      <c r="D17" s="47"/>
      <c r="E17" s="47"/>
    </row>
    <row r="18" spans="1:5" ht="13.15" thickBot="1" x14ac:dyDescent="0.4">
      <c r="A18" s="47"/>
      <c r="B18" s="47"/>
      <c r="C18" s="47"/>
      <c r="D18" s="47"/>
      <c r="E18" s="47"/>
    </row>
    <row r="19" spans="1:5" x14ac:dyDescent="0.35">
      <c r="A19" s="101" t="s">
        <v>125</v>
      </c>
      <c r="B19" s="53"/>
      <c r="C19" s="53"/>
      <c r="D19" s="53"/>
      <c r="E19" s="53"/>
    </row>
    <row r="20" spans="1:5" x14ac:dyDescent="0.35">
      <c r="A20" s="97"/>
      <c r="B20" s="58" t="s">
        <v>108</v>
      </c>
      <c r="C20" s="58" t="s">
        <v>109</v>
      </c>
      <c r="D20" s="98" t="s">
        <v>110</v>
      </c>
      <c r="E20" s="98" t="s">
        <v>111</v>
      </c>
    </row>
    <row r="21" spans="1:5" ht="13.15" thickBot="1" x14ac:dyDescent="0.4">
      <c r="A21" s="94" t="s">
        <v>107</v>
      </c>
      <c r="B21" s="170" t="str">
        <f>IF('Fund &amp; Member Details'!B37&lt;&gt;"",'Fund &amp; Member Details'!B37,"")</f>
        <v/>
      </c>
      <c r="C21" s="170" t="str">
        <f>IF('Fund &amp; Member Details'!C37&lt;&gt;"",'Fund &amp; Member Details'!C37,"")</f>
        <v/>
      </c>
      <c r="D21" s="170" t="str">
        <f>IF('Fund &amp; Member Details'!D37&lt;&gt;"",'Fund &amp; Member Details'!D37,"")</f>
        <v/>
      </c>
      <c r="E21" s="170" t="str">
        <f>IF('Fund &amp; Member Details'!E37&lt;&gt;"",'Fund &amp; Member Details'!E37,"")</f>
        <v/>
      </c>
    </row>
    <row r="22" spans="1:5" x14ac:dyDescent="0.35">
      <c r="A22" s="133" t="s">
        <v>1</v>
      </c>
      <c r="B22" s="168" t="str">
        <f>IF('Fund &amp; Member Details'!B38&lt;&gt;"",'Fund &amp; Member Details'!B38,"")</f>
        <v/>
      </c>
      <c r="C22" s="169" t="str">
        <f>IF('Fund &amp; Member Details'!C38&lt;&gt;"",'Fund &amp; Member Details'!C38,"")</f>
        <v/>
      </c>
      <c r="D22" s="169" t="str">
        <f>IF('Fund &amp; Member Details'!D38&lt;&gt;"",'Fund &amp; Member Details'!D38,"")</f>
        <v/>
      </c>
      <c r="E22" s="166" t="str">
        <f>IF('Fund &amp; Member Details'!E38&lt;&gt;"",'Fund &amp; Member Details'!E38,"")</f>
        <v/>
      </c>
    </row>
    <row r="23" spans="1:5" x14ac:dyDescent="0.35">
      <c r="A23" s="133" t="s">
        <v>128</v>
      </c>
      <c r="B23" s="57">
        <v>42552</v>
      </c>
      <c r="C23" s="57">
        <v>42552</v>
      </c>
      <c r="D23" s="57">
        <v>42552</v>
      </c>
      <c r="E23" s="57">
        <v>42552</v>
      </c>
    </row>
    <row r="24" spans="1:5" x14ac:dyDescent="0.35">
      <c r="A24" s="133" t="s">
        <v>129</v>
      </c>
      <c r="B24" s="56"/>
      <c r="C24" s="56"/>
      <c r="D24" s="56"/>
      <c r="E24" s="56"/>
    </row>
    <row r="25" spans="1:5" x14ac:dyDescent="0.35">
      <c r="A25" s="71" t="s">
        <v>73</v>
      </c>
      <c r="B25" s="59"/>
      <c r="C25" s="59"/>
      <c r="D25" s="59"/>
      <c r="E25" s="59"/>
    </row>
    <row r="26" spans="1:5" x14ac:dyDescent="0.35">
      <c r="A26" s="71" t="s">
        <v>115</v>
      </c>
      <c r="B26" s="56"/>
      <c r="C26" s="57"/>
      <c r="D26" s="56"/>
      <c r="E26" s="57"/>
    </row>
    <row r="27" spans="1:5" ht="13.15" thickBot="1" x14ac:dyDescent="0.4">
      <c r="A27" s="71" t="s">
        <v>68</v>
      </c>
      <c r="B27" s="56"/>
      <c r="C27" s="56"/>
      <c r="D27" s="56"/>
      <c r="E27" s="56"/>
    </row>
    <row r="28" spans="1:5" x14ac:dyDescent="0.35">
      <c r="A28" s="71" t="s">
        <v>82</v>
      </c>
      <c r="B28" s="134">
        <f>DATA!K28</f>
        <v>0</v>
      </c>
      <c r="C28" s="134">
        <f>DATA!L28</f>
        <v>0</v>
      </c>
      <c r="D28" s="134">
        <f>DATA!M28</f>
        <v>0</v>
      </c>
      <c r="E28" s="134">
        <f>DATA!N28</f>
        <v>0</v>
      </c>
    </row>
    <row r="29" spans="1:5" x14ac:dyDescent="0.35">
      <c r="A29" s="71" t="s">
        <v>83</v>
      </c>
      <c r="B29" s="135">
        <f>DATA!K29</f>
        <v>0</v>
      </c>
      <c r="C29" s="135">
        <f>DATA!L29</f>
        <v>0</v>
      </c>
      <c r="D29" s="135">
        <f>DATA!M29</f>
        <v>0</v>
      </c>
      <c r="E29" s="135">
        <f>DATA!N29</f>
        <v>0</v>
      </c>
    </row>
    <row r="30" spans="1:5" ht="13.15" thickBot="1" x14ac:dyDescent="0.4">
      <c r="A30" s="72" t="s">
        <v>132</v>
      </c>
      <c r="B30" s="136" t="str">
        <f>DATA!K68</f>
        <v>OK</v>
      </c>
      <c r="C30" s="136" t="str">
        <f>DATA!L68</f>
        <v>OK</v>
      </c>
      <c r="D30" s="136" t="str">
        <f>DATA!M68</f>
        <v>OK</v>
      </c>
      <c r="E30" s="136" t="str">
        <f>DATA!N68</f>
        <v>OK</v>
      </c>
    </row>
    <row r="31" spans="1:5" x14ac:dyDescent="0.35">
      <c r="A31" s="47"/>
      <c r="B31" s="47"/>
      <c r="C31" s="47"/>
      <c r="D31" s="47"/>
      <c r="E31" s="47"/>
    </row>
    <row r="32" spans="1:5" ht="13.15" thickBot="1" x14ac:dyDescent="0.4">
      <c r="A32" s="47"/>
      <c r="B32" s="47"/>
      <c r="C32" s="47"/>
      <c r="D32" s="47"/>
      <c r="E32" s="47"/>
    </row>
    <row r="33" spans="1:5" x14ac:dyDescent="0.35">
      <c r="A33" s="101" t="s">
        <v>126</v>
      </c>
      <c r="B33" s="53"/>
      <c r="C33" s="53"/>
      <c r="D33" s="53"/>
      <c r="E33" s="53"/>
    </row>
    <row r="34" spans="1:5" x14ac:dyDescent="0.35">
      <c r="A34" s="97"/>
      <c r="B34" s="58" t="s">
        <v>108</v>
      </c>
      <c r="C34" s="58" t="s">
        <v>109</v>
      </c>
      <c r="D34" s="98" t="s">
        <v>110</v>
      </c>
      <c r="E34" s="98" t="s">
        <v>111</v>
      </c>
    </row>
    <row r="35" spans="1:5" ht="13.15" thickBot="1" x14ac:dyDescent="0.4">
      <c r="A35" s="94" t="s">
        <v>107</v>
      </c>
      <c r="B35" s="170" t="str">
        <f>IF('Fund &amp; Member Details'!B37&lt;&gt;"",'Fund &amp; Member Details'!B37,"")</f>
        <v/>
      </c>
      <c r="C35" s="170" t="str">
        <f>IF('Fund &amp; Member Details'!C37&lt;&gt;"",'Fund &amp; Member Details'!C37,"")</f>
        <v/>
      </c>
      <c r="D35" s="170" t="str">
        <f>IF('Fund &amp; Member Details'!D37&lt;&gt;"",'Fund &amp; Member Details'!D37,"")</f>
        <v/>
      </c>
      <c r="E35" s="170" t="str">
        <f>IF('Fund &amp; Member Details'!E37&lt;&gt;"",'Fund &amp; Member Details'!E37,"")</f>
        <v/>
      </c>
    </row>
    <row r="36" spans="1:5" x14ac:dyDescent="0.35">
      <c r="A36" s="133" t="s">
        <v>1</v>
      </c>
      <c r="B36" s="168" t="str">
        <f>IF('Fund &amp; Member Details'!B38&lt;&gt;"",'Fund &amp; Member Details'!B38,"")</f>
        <v/>
      </c>
      <c r="C36" s="169" t="str">
        <f>IF('Fund &amp; Member Details'!C38&lt;&gt;"",'Fund &amp; Member Details'!C38,"")</f>
        <v/>
      </c>
      <c r="D36" s="169" t="str">
        <f>IF('Fund &amp; Member Details'!D38&lt;&gt;"",'Fund &amp; Member Details'!D38,"")</f>
        <v/>
      </c>
      <c r="E36" s="166" t="str">
        <f>IF('Fund &amp; Member Details'!E38&lt;&gt;"",'Fund &amp; Member Details'!E38,"")</f>
        <v/>
      </c>
    </row>
    <row r="37" spans="1:5" x14ac:dyDescent="0.35">
      <c r="A37" s="133" t="s">
        <v>130</v>
      </c>
      <c r="B37" s="57">
        <v>42552</v>
      </c>
      <c r="C37" s="57">
        <v>42552</v>
      </c>
      <c r="D37" s="57">
        <v>42552</v>
      </c>
      <c r="E37" s="57">
        <v>42552</v>
      </c>
    </row>
    <row r="38" spans="1:5" x14ac:dyDescent="0.35">
      <c r="A38" s="133" t="s">
        <v>129</v>
      </c>
      <c r="B38" s="56"/>
      <c r="C38" s="56"/>
      <c r="D38" s="56"/>
      <c r="E38" s="56"/>
    </row>
    <row r="39" spans="1:5" x14ac:dyDescent="0.35">
      <c r="A39" s="71" t="s">
        <v>73</v>
      </c>
      <c r="B39" s="59"/>
      <c r="C39" s="59"/>
      <c r="D39" s="59"/>
      <c r="E39" s="59"/>
    </row>
    <row r="40" spans="1:5" x14ac:dyDescent="0.35">
      <c r="A40" s="71" t="s">
        <v>115</v>
      </c>
      <c r="B40" s="56"/>
      <c r="C40" s="57"/>
      <c r="D40" s="56"/>
      <c r="E40" s="57"/>
    </row>
    <row r="41" spans="1:5" ht="13.15" thickBot="1" x14ac:dyDescent="0.4">
      <c r="A41" s="71" t="s">
        <v>68</v>
      </c>
      <c r="B41" s="56"/>
      <c r="C41" s="56"/>
      <c r="D41" s="56"/>
      <c r="E41" s="56"/>
    </row>
    <row r="42" spans="1:5" x14ac:dyDescent="0.35">
      <c r="A42" s="71" t="s">
        <v>82</v>
      </c>
      <c r="B42" s="134">
        <f>DATA!K41</f>
        <v>0</v>
      </c>
      <c r="C42" s="134">
        <f>DATA!L41</f>
        <v>0</v>
      </c>
      <c r="D42" s="134">
        <f>DATA!M41</f>
        <v>0</v>
      </c>
      <c r="E42" s="134">
        <f>DATA!N41</f>
        <v>0</v>
      </c>
    </row>
    <row r="43" spans="1:5" x14ac:dyDescent="0.35">
      <c r="A43" s="71" t="s">
        <v>83</v>
      </c>
      <c r="B43" s="135">
        <f>DATA!K42</f>
        <v>0</v>
      </c>
      <c r="C43" s="135">
        <f>DATA!L42</f>
        <v>0</v>
      </c>
      <c r="D43" s="135">
        <f>DATA!M42</f>
        <v>0</v>
      </c>
      <c r="E43" s="135">
        <f>DATA!N42</f>
        <v>0</v>
      </c>
    </row>
    <row r="44" spans="1:5" ht="13.15" thickBot="1" x14ac:dyDescent="0.4">
      <c r="A44" s="72" t="s">
        <v>132</v>
      </c>
      <c r="B44" s="136" t="str">
        <f>DATA!K69</f>
        <v>OK</v>
      </c>
      <c r="C44" s="136" t="str">
        <f>DATA!L69</f>
        <v>OK</v>
      </c>
      <c r="D44" s="136" t="str">
        <f>DATA!M69</f>
        <v>OK</v>
      </c>
      <c r="E44" s="136" t="str">
        <f>DATA!N69</f>
        <v>OK</v>
      </c>
    </row>
    <row r="45" spans="1:5" x14ac:dyDescent="0.35">
      <c r="A45" s="47"/>
      <c r="B45" s="47"/>
      <c r="C45" s="47"/>
      <c r="D45" s="47"/>
      <c r="E45" s="47"/>
    </row>
    <row r="46" spans="1:5" ht="13.15" thickBot="1" x14ac:dyDescent="0.4">
      <c r="A46" s="47"/>
      <c r="B46" s="47"/>
      <c r="C46" s="47"/>
      <c r="D46" s="47"/>
      <c r="E46" s="47"/>
    </row>
    <row r="47" spans="1:5" x14ac:dyDescent="0.35">
      <c r="A47" s="101" t="s">
        <v>127</v>
      </c>
      <c r="B47" s="53"/>
      <c r="C47" s="53"/>
      <c r="D47" s="53"/>
      <c r="E47" s="53"/>
    </row>
    <row r="48" spans="1:5" x14ac:dyDescent="0.35">
      <c r="A48" s="97"/>
      <c r="B48" s="58" t="s">
        <v>108</v>
      </c>
      <c r="C48" s="58" t="s">
        <v>109</v>
      </c>
      <c r="D48" s="98" t="s">
        <v>110</v>
      </c>
      <c r="E48" s="98" t="s">
        <v>111</v>
      </c>
    </row>
    <row r="49" spans="1:7" ht="13.15" thickBot="1" x14ac:dyDescent="0.4">
      <c r="A49" s="94" t="s">
        <v>107</v>
      </c>
      <c r="B49" s="170" t="str">
        <f>IF('Fund &amp; Member Details'!B37&lt;&gt;"",'Fund &amp; Member Details'!B37,"")</f>
        <v/>
      </c>
      <c r="C49" s="170" t="str">
        <f>IF('Fund &amp; Member Details'!C37&lt;&gt;"",'Fund &amp; Member Details'!C37,"")</f>
        <v/>
      </c>
      <c r="D49" s="170" t="str">
        <f>IF('Fund &amp; Member Details'!D37&lt;&gt;"",'Fund &amp; Member Details'!D37,"")</f>
        <v/>
      </c>
      <c r="E49" s="170" t="str">
        <f>IF('Fund &amp; Member Details'!E37&lt;&gt;"",'Fund &amp; Member Details'!E37,"")</f>
        <v/>
      </c>
    </row>
    <row r="50" spans="1:7" x14ac:dyDescent="0.35">
      <c r="A50" s="133" t="s">
        <v>1</v>
      </c>
      <c r="B50" s="168" t="str">
        <f>IF('Fund &amp; Member Details'!B38&lt;&gt;"",'Fund &amp; Member Details'!B38,"")</f>
        <v/>
      </c>
      <c r="C50" s="169" t="str">
        <f>IF('Fund &amp; Member Details'!C38&lt;&gt;"",'Fund &amp; Member Details'!C38,"")</f>
        <v/>
      </c>
      <c r="D50" s="169" t="str">
        <f>IF('Fund &amp; Member Details'!D38&lt;&gt;"",'Fund &amp; Member Details'!D38,"")</f>
        <v/>
      </c>
      <c r="E50" s="166" t="str">
        <f>IF('Fund &amp; Member Details'!E38&lt;&gt;"",'Fund &amp; Member Details'!E38,"")</f>
        <v/>
      </c>
    </row>
    <row r="51" spans="1:7" x14ac:dyDescent="0.35">
      <c r="A51" s="133" t="s">
        <v>131</v>
      </c>
      <c r="B51" s="57">
        <v>42552</v>
      </c>
      <c r="C51" s="57">
        <v>42552</v>
      </c>
      <c r="D51" s="57">
        <v>42552</v>
      </c>
      <c r="E51" s="57">
        <v>42552</v>
      </c>
    </row>
    <row r="52" spans="1:7" x14ac:dyDescent="0.35">
      <c r="A52" s="133" t="s">
        <v>129</v>
      </c>
      <c r="B52" s="56"/>
      <c r="C52" s="56"/>
      <c r="D52" s="56"/>
      <c r="E52" s="56"/>
    </row>
    <row r="53" spans="1:7" x14ac:dyDescent="0.35">
      <c r="A53" s="71" t="s">
        <v>73</v>
      </c>
      <c r="B53" s="59"/>
      <c r="C53" s="59"/>
      <c r="D53" s="59"/>
      <c r="E53" s="59"/>
    </row>
    <row r="54" spans="1:7" x14ac:dyDescent="0.35">
      <c r="A54" s="71" t="s">
        <v>115</v>
      </c>
      <c r="B54" s="56"/>
      <c r="C54" s="57"/>
      <c r="D54" s="56"/>
      <c r="E54" s="57"/>
    </row>
    <row r="55" spans="1:7" ht="13.15" thickBot="1" x14ac:dyDescent="0.4">
      <c r="A55" s="71" t="s">
        <v>68</v>
      </c>
      <c r="B55" s="56"/>
      <c r="C55" s="56"/>
      <c r="D55" s="56"/>
      <c r="E55" s="56"/>
    </row>
    <row r="56" spans="1:7" x14ac:dyDescent="0.35">
      <c r="A56" s="71" t="s">
        <v>82</v>
      </c>
      <c r="B56" s="134">
        <f>DATA!K54</f>
        <v>0</v>
      </c>
      <c r="C56" s="134">
        <f>DATA!L54</f>
        <v>0</v>
      </c>
      <c r="D56" s="134">
        <f>DATA!M54</f>
        <v>0</v>
      </c>
      <c r="E56" s="134">
        <f>DATA!N54</f>
        <v>0</v>
      </c>
    </row>
    <row r="57" spans="1:7" x14ac:dyDescent="0.35">
      <c r="A57" s="71" t="s">
        <v>83</v>
      </c>
      <c r="B57" s="135">
        <f>DATA!K55</f>
        <v>0</v>
      </c>
      <c r="C57" s="135">
        <f>DATA!L55</f>
        <v>0</v>
      </c>
      <c r="D57" s="135">
        <f>DATA!M55</f>
        <v>0</v>
      </c>
      <c r="E57" s="135">
        <f>DATA!N55</f>
        <v>0</v>
      </c>
    </row>
    <row r="58" spans="1:7" ht="13.15" thickBot="1" x14ac:dyDescent="0.4">
      <c r="A58" s="72" t="s">
        <v>132</v>
      </c>
      <c r="B58" s="136" t="str">
        <f>DATA!K70</f>
        <v>OK</v>
      </c>
      <c r="C58" s="136" t="str">
        <f>DATA!L70</f>
        <v>OK</v>
      </c>
      <c r="D58" s="136" t="str">
        <f>DATA!M70</f>
        <v>OK</v>
      </c>
      <c r="E58" s="136" t="str">
        <f>DATA!N70</f>
        <v>OK</v>
      </c>
    </row>
    <row r="59" spans="1:7" x14ac:dyDescent="0.35">
      <c r="A59" s="47"/>
      <c r="B59" s="47"/>
      <c r="C59" s="47"/>
      <c r="D59" s="47"/>
      <c r="E59" s="47"/>
    </row>
    <row r="61" spans="1:7" customFormat="1" hidden="1" x14ac:dyDescent="0.35">
      <c r="A61" s="25" t="s">
        <v>164</v>
      </c>
      <c r="B61" t="s">
        <v>56</v>
      </c>
      <c r="C61" t="s">
        <v>165</v>
      </c>
      <c r="E61" s="26"/>
      <c r="F61" s="25"/>
      <c r="G61" s="25"/>
    </row>
    <row r="62" spans="1:7" customFormat="1" hidden="1" x14ac:dyDescent="0.35">
      <c r="A62" s="25"/>
      <c r="B62" t="s">
        <v>114</v>
      </c>
      <c r="C62" t="s">
        <v>166</v>
      </c>
      <c r="E62" s="26"/>
      <c r="F62" s="25"/>
      <c r="G62" s="25"/>
    </row>
  </sheetData>
  <sheetProtection password="C7DC" sheet="1" objects="1" scenarios="1"/>
  <conditionalFormatting sqref="B16">
    <cfRule type="cellIs" dxfId="3" priority="2" stopIfTrue="1" operator="equal">
      <formula>"WARNING"</formula>
    </cfRule>
  </conditionalFormatting>
  <conditionalFormatting sqref="C16:E16">
    <cfRule type="cellIs" dxfId="2" priority="1" stopIfTrue="1" operator="equal">
      <formula>"WARNING"</formula>
    </cfRule>
  </conditionalFormatting>
  <dataValidations count="3">
    <dataValidation type="date" allowBlank="1" showInputMessage="1" showErrorMessage="1" errorTitle="Invalid Date" error="Must be in 2017 Financial Year" promptTitle="Commutation Date" prompt="Only Complete if Commuted in the 2017 Financial Year" sqref="B26:E26 B40:E40 B54:E54 B12:E12">
      <formula1>42552</formula1>
      <formula2>42916</formula2>
    </dataValidation>
    <dataValidation type="list" allowBlank="1" showInputMessage="1" showErrorMessage="1" errorTitle="Invalid Code" error="Must be Y or N" promptTitle="TTR or ABP" prompt="Y for Transition to Retirement_x000a_N for Commutable" sqref="B25:E25 B39:E39 B11:E11 B53:E53">
      <formula1>$B$61:$B$62</formula1>
    </dataValidation>
    <dataValidation type="date" allowBlank="1" showInputMessage="1" showErrorMessage="1" errorTitle="Invalid Date" error="Must be in 2017 Financial Year" promptTitle="Calculation Date" sqref="B9:E9 B23:E23 B37:E37 B51:E51">
      <formula1>42552</formula1>
      <formula2>42916</formula2>
    </dataValidation>
  </dataValidations>
  <pageMargins left="0.7" right="0.7" top="0.75" bottom="0.75" header="0.3" footer="0.3"/>
  <pageSetup paperSize="9" orientation="landscape"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33"/>
  <sheetViews>
    <sheetView workbookViewId="0">
      <selection activeCell="B9" sqref="B9"/>
    </sheetView>
  </sheetViews>
  <sheetFormatPr defaultColWidth="9.1328125" defaultRowHeight="12.75" x14ac:dyDescent="0.35"/>
  <cols>
    <col min="1" max="1" width="45.265625" style="26" customWidth="1"/>
    <col min="2" max="5" width="17.73046875" style="26" customWidth="1"/>
    <col min="6" max="16384" width="9.1328125" style="26"/>
  </cols>
  <sheetData>
    <row r="1" spans="1:5" ht="15" x14ac:dyDescent="0.4">
      <c r="A1" s="137" t="s">
        <v>289</v>
      </c>
    </row>
    <row r="2" spans="1:5" x14ac:dyDescent="0.35">
      <c r="A2" s="96" t="s">
        <v>236</v>
      </c>
      <c r="B2" s="47"/>
      <c r="C2" s="47"/>
      <c r="D2" s="47"/>
      <c r="E2" s="47"/>
    </row>
    <row r="3" spans="1:5" ht="13.15" thickBot="1" x14ac:dyDescent="0.4">
      <c r="A3" s="47"/>
      <c r="B3" s="47"/>
      <c r="C3" s="47"/>
      <c r="D3" s="47"/>
      <c r="E3" s="47"/>
    </row>
    <row r="4" spans="1:5" x14ac:dyDescent="0.35">
      <c r="A4" s="101" t="s">
        <v>224</v>
      </c>
      <c r="B4" s="53"/>
      <c r="C4" s="53"/>
      <c r="D4" s="53"/>
      <c r="E4" s="53"/>
    </row>
    <row r="5" spans="1:5" x14ac:dyDescent="0.35">
      <c r="A5" s="97"/>
      <c r="B5" s="58" t="s">
        <v>108</v>
      </c>
      <c r="C5" s="58" t="s">
        <v>109</v>
      </c>
      <c r="D5" s="98" t="s">
        <v>110</v>
      </c>
      <c r="E5" s="98" t="s">
        <v>111</v>
      </c>
    </row>
    <row r="6" spans="1:5" ht="13.15" thickBot="1" x14ac:dyDescent="0.4">
      <c r="A6" s="94" t="s">
        <v>107</v>
      </c>
      <c r="B6" s="116" t="str">
        <f>IF('Fund &amp; Member Details'!B37&lt;&gt;"",'Fund &amp; Member Details'!B37,"")</f>
        <v/>
      </c>
      <c r="C6" s="116" t="str">
        <f>IF('Fund &amp; Member Details'!C37&lt;&gt;"",'Fund &amp; Member Details'!C37,"")</f>
        <v/>
      </c>
      <c r="D6" s="116" t="str">
        <f>IF('Fund &amp; Member Details'!D37&lt;&gt;"",'Fund &amp; Member Details'!D37,"")</f>
        <v/>
      </c>
      <c r="E6" s="116" t="str">
        <f>IF('Fund &amp; Member Details'!E37&lt;&gt;"",'Fund &amp; Member Details'!E37,"")</f>
        <v/>
      </c>
    </row>
    <row r="7" spans="1:5" x14ac:dyDescent="0.35">
      <c r="A7" s="133" t="s">
        <v>1</v>
      </c>
      <c r="B7" s="167" t="str">
        <f>IF('Fund &amp; Member Details'!B38&lt;&gt;"",'Fund &amp; Member Details'!B38,"")</f>
        <v/>
      </c>
      <c r="C7" s="167" t="str">
        <f>IF('Fund &amp; Member Details'!C38&lt;&gt;"",'Fund &amp; Member Details'!C38,"")</f>
        <v/>
      </c>
      <c r="D7" s="167" t="str">
        <f>IF('Fund &amp; Member Details'!D38&lt;&gt;"",'Fund &amp; Member Details'!D38,"")</f>
        <v/>
      </c>
      <c r="E7" s="167" t="str">
        <f>IF('Fund &amp; Member Details'!E38&lt;&gt;"",'Fund &amp; Member Details'!E38,"")</f>
        <v/>
      </c>
    </row>
    <row r="8" spans="1:5" x14ac:dyDescent="0.35">
      <c r="A8" s="133" t="s">
        <v>339</v>
      </c>
      <c r="B8" s="57">
        <v>42552</v>
      </c>
      <c r="C8" s="57">
        <v>42552</v>
      </c>
      <c r="D8" s="57">
        <v>42552</v>
      </c>
      <c r="E8" s="57">
        <v>42552</v>
      </c>
    </row>
    <row r="9" spans="1:5" x14ac:dyDescent="0.35">
      <c r="A9" s="133" t="s">
        <v>113</v>
      </c>
      <c r="B9" s="56"/>
      <c r="C9" s="56"/>
      <c r="D9" s="56"/>
      <c r="E9" s="56"/>
    </row>
    <row r="10" spans="1:5" x14ac:dyDescent="0.35">
      <c r="A10" s="71" t="s">
        <v>149</v>
      </c>
      <c r="B10" s="59" t="s">
        <v>114</v>
      </c>
      <c r="C10" s="59" t="s">
        <v>114</v>
      </c>
      <c r="D10" s="59" t="s">
        <v>114</v>
      </c>
      <c r="E10" s="59" t="s">
        <v>114</v>
      </c>
    </row>
    <row r="11" spans="1:5" x14ac:dyDescent="0.35">
      <c r="A11" s="71" t="s">
        <v>115</v>
      </c>
      <c r="B11" s="57"/>
      <c r="C11" s="57"/>
      <c r="D11" s="56"/>
      <c r="E11" s="57"/>
    </row>
    <row r="12" spans="1:5" ht="13.15" thickBot="1" x14ac:dyDescent="0.4">
      <c r="A12" s="71" t="s">
        <v>67</v>
      </c>
      <c r="B12" s="57"/>
      <c r="C12" s="56"/>
      <c r="D12" s="56"/>
      <c r="E12" s="56"/>
    </row>
    <row r="13" spans="1:5" x14ac:dyDescent="0.35">
      <c r="A13" s="71" t="s">
        <v>145</v>
      </c>
      <c r="B13" s="134">
        <f>DATA!K83</f>
        <v>0</v>
      </c>
      <c r="C13" s="134">
        <f>DATA!L83</f>
        <v>0</v>
      </c>
      <c r="D13" s="134">
        <f>DATA!M83</f>
        <v>0</v>
      </c>
      <c r="E13" s="134">
        <f>DATA!N83</f>
        <v>0</v>
      </c>
    </row>
    <row r="14" spans="1:5" x14ac:dyDescent="0.35">
      <c r="A14" s="71" t="s">
        <v>146</v>
      </c>
      <c r="B14" s="135">
        <f>DATA!K84</f>
        <v>0</v>
      </c>
      <c r="C14" s="135">
        <f>DATA!L84</f>
        <v>0</v>
      </c>
      <c r="D14" s="135">
        <f>DATA!M84</f>
        <v>0</v>
      </c>
      <c r="E14" s="135">
        <f>DATA!N84</f>
        <v>0</v>
      </c>
    </row>
    <row r="15" spans="1:5" ht="13.15" thickBot="1" x14ac:dyDescent="0.4">
      <c r="A15" s="72" t="s">
        <v>132</v>
      </c>
      <c r="B15" s="136" t="str">
        <f>DATA!K106</f>
        <v>OK</v>
      </c>
      <c r="C15" s="136" t="str">
        <f>DATA!L106</f>
        <v>OK</v>
      </c>
      <c r="D15" s="136" t="str">
        <f>DATA!M106</f>
        <v>OK</v>
      </c>
      <c r="E15" s="136" t="str">
        <f>DATA!N106</f>
        <v>OK</v>
      </c>
    </row>
    <row r="16" spans="1:5" x14ac:dyDescent="0.35">
      <c r="A16" s="70" t="s">
        <v>238</v>
      </c>
      <c r="B16" s="47"/>
      <c r="C16" s="47"/>
      <c r="D16" s="47"/>
      <c r="E16" s="47"/>
    </row>
    <row r="17" spans="1:7" ht="13.15" thickBot="1" x14ac:dyDescent="0.4">
      <c r="A17" s="47"/>
      <c r="B17" s="47"/>
      <c r="C17" s="47"/>
      <c r="D17" s="47"/>
      <c r="E17" s="47"/>
    </row>
    <row r="18" spans="1:7" x14ac:dyDescent="0.35">
      <c r="A18" s="101" t="s">
        <v>225</v>
      </c>
      <c r="B18" s="53"/>
      <c r="C18" s="53"/>
      <c r="D18" s="53"/>
      <c r="E18" s="53"/>
    </row>
    <row r="19" spans="1:7" x14ac:dyDescent="0.35">
      <c r="A19" s="97"/>
      <c r="B19" s="58" t="s">
        <v>108</v>
      </c>
      <c r="C19" s="58" t="s">
        <v>109</v>
      </c>
      <c r="D19" s="98" t="s">
        <v>110</v>
      </c>
      <c r="E19" s="98" t="s">
        <v>111</v>
      </c>
    </row>
    <row r="20" spans="1:7" ht="13.15" thickBot="1" x14ac:dyDescent="0.4">
      <c r="A20" s="94" t="s">
        <v>107</v>
      </c>
      <c r="B20" s="116" t="str">
        <f>IF('Fund &amp; Member Details'!B37&lt;&gt;"",'Fund &amp; Member Details'!B37,"")</f>
        <v/>
      </c>
      <c r="C20" s="116" t="str">
        <f>IF('Fund &amp; Member Details'!C37&lt;&gt;"",'Fund &amp; Member Details'!C37,"")</f>
        <v/>
      </c>
      <c r="D20" s="116" t="str">
        <f>IF('Fund &amp; Member Details'!D37&lt;&gt;"",'Fund &amp; Member Details'!D37,"")</f>
        <v/>
      </c>
      <c r="E20" s="116" t="str">
        <f>IF('Fund &amp; Member Details'!E37&lt;&gt;"",'Fund &amp; Member Details'!E37,"")</f>
        <v/>
      </c>
    </row>
    <row r="21" spans="1:7" x14ac:dyDescent="0.35">
      <c r="A21" s="133" t="s">
        <v>1</v>
      </c>
      <c r="B21" s="167" t="str">
        <f>IF('Fund &amp; Member Details'!B38&lt;&gt;"",'Fund &amp; Member Details'!B38,"")</f>
        <v/>
      </c>
      <c r="C21" s="167" t="str">
        <f>IF('Fund &amp; Member Details'!C38&lt;&gt;"",'Fund &amp; Member Details'!C38,"")</f>
        <v/>
      </c>
      <c r="D21" s="167" t="str">
        <f>IF('Fund &amp; Member Details'!D38&lt;&gt;"",'Fund &amp; Member Details'!D38,"")</f>
        <v/>
      </c>
      <c r="E21" s="167" t="str">
        <f>IF('Fund &amp; Member Details'!E38&lt;&gt;"",'Fund &amp; Member Details'!E38,"")</f>
        <v/>
      </c>
    </row>
    <row r="22" spans="1:7" x14ac:dyDescent="0.35">
      <c r="A22" s="133" t="s">
        <v>339</v>
      </c>
      <c r="B22" s="57">
        <v>42552</v>
      </c>
      <c r="C22" s="57">
        <v>42552</v>
      </c>
      <c r="D22" s="57">
        <v>42552</v>
      </c>
      <c r="E22" s="57">
        <v>42552</v>
      </c>
    </row>
    <row r="23" spans="1:7" x14ac:dyDescent="0.35">
      <c r="A23" s="133" t="s">
        <v>113</v>
      </c>
      <c r="B23" s="56"/>
      <c r="C23" s="56"/>
      <c r="D23" s="56"/>
      <c r="E23" s="56"/>
    </row>
    <row r="24" spans="1:7" x14ac:dyDescent="0.35">
      <c r="A24" s="71" t="s">
        <v>147</v>
      </c>
      <c r="B24" s="56"/>
      <c r="C24" s="56"/>
      <c r="D24" s="56"/>
      <c r="E24" s="56"/>
    </row>
    <row r="25" spans="1:7" x14ac:dyDescent="0.35">
      <c r="A25" s="71" t="s">
        <v>115</v>
      </c>
      <c r="B25" s="57"/>
      <c r="C25" s="57"/>
      <c r="D25" s="56"/>
      <c r="E25" s="57"/>
    </row>
    <row r="26" spans="1:7" ht="13.15" thickBot="1" x14ac:dyDescent="0.4">
      <c r="A26" s="71" t="s">
        <v>148</v>
      </c>
      <c r="B26" s="56"/>
      <c r="C26" s="56"/>
      <c r="D26" s="56"/>
      <c r="E26" s="56"/>
    </row>
    <row r="27" spans="1:7" x14ac:dyDescent="0.35">
      <c r="A27" s="71" t="s">
        <v>82</v>
      </c>
      <c r="B27" s="134">
        <f>DATA!K97</f>
        <v>0</v>
      </c>
      <c r="C27" s="134">
        <f>DATA!L97</f>
        <v>0</v>
      </c>
      <c r="D27" s="134">
        <f>DATA!M97</f>
        <v>0</v>
      </c>
      <c r="E27" s="134">
        <f>DATA!N97</f>
        <v>0</v>
      </c>
    </row>
    <row r="28" spans="1:7" x14ac:dyDescent="0.35">
      <c r="A28" s="71" t="s">
        <v>83</v>
      </c>
      <c r="B28" s="135">
        <f>DATA!K98</f>
        <v>0</v>
      </c>
      <c r="C28" s="135">
        <f>DATA!L98</f>
        <v>0</v>
      </c>
      <c r="D28" s="135">
        <f>DATA!M98</f>
        <v>0</v>
      </c>
      <c r="E28" s="135">
        <f>DATA!N98</f>
        <v>0</v>
      </c>
    </row>
    <row r="29" spans="1:7" ht="13.15" thickBot="1" x14ac:dyDescent="0.4">
      <c r="A29" s="72" t="s">
        <v>132</v>
      </c>
      <c r="B29" s="136" t="str">
        <f>DATA!K107</f>
        <v>OK</v>
      </c>
      <c r="C29" s="136" t="str">
        <f>DATA!L107</f>
        <v>OK</v>
      </c>
      <c r="D29" s="136" t="str">
        <f>DATA!M107</f>
        <v>OK</v>
      </c>
      <c r="E29" s="136" t="str">
        <f>DATA!N107</f>
        <v>OK</v>
      </c>
    </row>
    <row r="30" spans="1:7" x14ac:dyDescent="0.35">
      <c r="A30" s="47"/>
      <c r="B30" s="47"/>
      <c r="C30" s="47"/>
      <c r="D30" s="47"/>
      <c r="E30" s="47"/>
    </row>
    <row r="31" spans="1:7" x14ac:dyDescent="0.35">
      <c r="A31" s="47"/>
      <c r="B31" s="47"/>
      <c r="C31" s="47"/>
      <c r="D31" s="47"/>
      <c r="E31" s="47"/>
    </row>
    <row r="32" spans="1:7" customFormat="1" hidden="1" x14ac:dyDescent="0.35">
      <c r="A32" s="25" t="s">
        <v>164</v>
      </c>
      <c r="B32" t="s">
        <v>114</v>
      </c>
      <c r="C32" t="s">
        <v>167</v>
      </c>
      <c r="E32" s="26"/>
      <c r="F32" s="25"/>
      <c r="G32" s="25"/>
    </row>
    <row r="33" spans="1:7" customFormat="1" hidden="1" x14ac:dyDescent="0.35">
      <c r="A33" s="25"/>
      <c r="B33" t="s">
        <v>168</v>
      </c>
      <c r="C33" t="s">
        <v>169</v>
      </c>
      <c r="E33" s="26"/>
      <c r="F33" s="25"/>
      <c r="G33" s="25"/>
    </row>
  </sheetData>
  <sheetProtection password="C7DC" sheet="1" objects="1" scenarios="1"/>
  <autoFilter ref="A5:E16"/>
  <conditionalFormatting sqref="B15:E15">
    <cfRule type="cellIs" dxfId="1" priority="2" stopIfTrue="1" operator="equal">
      <formula>"WARNING"</formula>
    </cfRule>
  </conditionalFormatting>
  <conditionalFormatting sqref="B29:E29">
    <cfRule type="cellIs" dxfId="0" priority="1" stopIfTrue="1" operator="equal">
      <formula>"WARNING"</formula>
    </cfRule>
  </conditionalFormatting>
  <dataValidations xWindow="639" yWindow="500" count="5">
    <dataValidation type="date" allowBlank="1" showInputMessage="1" showErrorMessage="1" errorTitle="Invalid Date" error="Must be in 2017 Financial Year" promptTitle="Commutation Date" prompt="Only Complete if Commuted in the 2017 Financial Year" sqref="B11:E11 B25:E25">
      <formula1>42552</formula1>
      <formula2>42916</formula2>
    </dataValidation>
    <dataValidation type="list" allowBlank="1" showInputMessage="1" showErrorMessage="1" errorTitle="PVF Error" error="Either (N)ew or (O)ld" promptTitle="Pension Valuation Factor" prompt="N for New_x000a_O for Old" sqref="B10:E10">
      <formula1>$B$32:$B$33</formula1>
    </dataValidation>
    <dataValidation type="whole" allowBlank="1" showInputMessage="1" showErrorMessage="1" errorTitle="Invalid Term" error="Must be a positive whole number" promptTitle="Remaining Term" prompt="Must be a whole number less than 46" sqref="B24:E24">
      <formula1>0</formula1>
      <formula2>45</formula2>
    </dataValidation>
    <dataValidation type="date" allowBlank="1" showInputMessage="1" showErrorMessage="1" errorTitle="Invalid Date" error="Date must be in 2017 Financial Year" promptTitle="Calculation Date" prompt="Purchase Date of AP (if applicable)" sqref="B8:E8">
      <formula1>42552</formula1>
      <formula2>42916</formula2>
    </dataValidation>
    <dataValidation type="date" allowBlank="1" showInputMessage="1" showErrorMessage="1" errorTitle="Invalid Date" error="Date must be in 2017 Financial Year" promptTitle="Calculation Date" prompt="Purchase Date of MLP (if applicable)" sqref="B22:E22">
      <formula1>42552</formula1>
      <formula2>42916</formula2>
    </dataValidation>
  </dataValidations>
  <pageMargins left="0.7" right="0.7" top="0.75" bottom="0.75" header="0.3" footer="0.3"/>
  <pageSetup paperSize="9"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J66"/>
  <sheetViews>
    <sheetView workbookViewId="0">
      <selection activeCell="C16" sqref="C16"/>
    </sheetView>
  </sheetViews>
  <sheetFormatPr defaultRowHeight="12.75" x14ac:dyDescent="0.35"/>
  <cols>
    <col min="1" max="1" width="15.265625" customWidth="1"/>
    <col min="2" max="2" width="9.1328125" customWidth="1"/>
    <col min="3" max="3" width="10.1328125" customWidth="1"/>
    <col min="4" max="4" width="14.265625" customWidth="1"/>
    <col min="5" max="5" width="1.73046875" customWidth="1"/>
    <col min="7" max="7" width="10.1328125" customWidth="1"/>
    <col min="8" max="8" width="10.73046875" customWidth="1"/>
    <col min="9" max="9" width="1.73046875" customWidth="1"/>
    <col min="11" max="11" width="10.1328125" customWidth="1"/>
    <col min="12" max="12" width="10.73046875" customWidth="1"/>
    <col min="13" max="13" width="1.73046875" customWidth="1"/>
    <col min="15" max="15" width="10.1328125" customWidth="1"/>
    <col min="16" max="16" width="10.73046875" customWidth="1"/>
    <col min="17" max="17" width="1.73046875" customWidth="1"/>
    <col min="19" max="19" width="10.1328125" customWidth="1"/>
    <col min="21" max="21" width="1.73046875" customWidth="1"/>
    <col min="23" max="23" width="10.1328125" customWidth="1"/>
    <col min="24" max="24" width="10.73046875" customWidth="1"/>
    <col min="25" max="25" width="1.73046875" customWidth="1"/>
    <col min="27" max="27" width="10.1328125" customWidth="1"/>
    <col min="29" max="29" width="1.73046875" customWidth="1"/>
    <col min="31" max="31" width="10.1328125" customWidth="1"/>
    <col min="32" max="32" width="10.73046875" customWidth="1"/>
    <col min="33" max="33" width="1.73046875" customWidth="1"/>
  </cols>
  <sheetData>
    <row r="1" spans="1:36" ht="15" x14ac:dyDescent="0.4">
      <c r="A1" s="9" t="s">
        <v>21</v>
      </c>
      <c r="B1" s="23"/>
      <c r="C1" s="10"/>
      <c r="D1" s="10"/>
      <c r="E1" s="10"/>
      <c r="F1" s="10"/>
      <c r="G1" s="10"/>
      <c r="H1" s="10"/>
      <c r="I1" s="10"/>
      <c r="J1" s="10"/>
      <c r="K1" s="10"/>
      <c r="L1" s="10"/>
      <c r="M1" s="10"/>
      <c r="N1" s="10"/>
      <c r="O1" s="10"/>
      <c r="P1" s="10"/>
      <c r="Q1" s="10"/>
      <c r="R1" s="10"/>
      <c r="S1" s="10"/>
      <c r="T1" s="10"/>
      <c r="V1" s="10"/>
      <c r="W1" s="10"/>
      <c r="X1" s="10"/>
      <c r="Y1" s="10"/>
      <c r="Z1" s="10"/>
      <c r="AA1" s="10"/>
      <c r="AB1" s="10"/>
      <c r="AD1" s="10"/>
      <c r="AE1" s="10"/>
      <c r="AF1" s="10"/>
    </row>
    <row r="2" spans="1:36" x14ac:dyDescent="0.35">
      <c r="A2" s="11" t="s">
        <v>44</v>
      </c>
      <c r="B2" s="60"/>
      <c r="C2" s="12"/>
      <c r="D2" s="12"/>
      <c r="E2" s="12"/>
      <c r="F2" s="12"/>
      <c r="G2" s="12"/>
      <c r="H2" s="12"/>
      <c r="I2" s="12"/>
      <c r="J2" s="12"/>
      <c r="K2" s="12"/>
      <c r="L2" s="12"/>
      <c r="M2" s="12"/>
      <c r="N2" s="12"/>
      <c r="O2" s="12"/>
      <c r="P2" s="12"/>
      <c r="Q2" s="12"/>
      <c r="R2" s="12"/>
      <c r="S2" s="12"/>
      <c r="T2" s="12"/>
      <c r="V2" s="12"/>
      <c r="W2" s="12"/>
      <c r="X2" s="12"/>
      <c r="Y2" s="12"/>
      <c r="Z2" s="12"/>
      <c r="AA2" s="12"/>
      <c r="AB2" s="12"/>
      <c r="AD2" s="12"/>
      <c r="AE2" s="12"/>
      <c r="AF2" s="12"/>
    </row>
    <row r="3" spans="1:36" x14ac:dyDescent="0.35">
      <c r="A3" s="11" t="s">
        <v>22</v>
      </c>
      <c r="B3" s="62">
        <f>'Fund &amp; Member Details'!B21</f>
        <v>0</v>
      </c>
      <c r="C3" s="62"/>
      <c r="D3" s="62"/>
      <c r="E3" s="62"/>
      <c r="F3" s="62"/>
      <c r="G3" s="12"/>
      <c r="H3" s="12"/>
      <c r="I3" s="12"/>
      <c r="J3" s="12"/>
      <c r="K3" s="12"/>
      <c r="L3" s="12"/>
      <c r="M3" s="12"/>
      <c r="N3" s="12"/>
      <c r="O3" s="12"/>
      <c r="P3" s="12"/>
      <c r="Q3" s="12"/>
      <c r="R3" s="12"/>
      <c r="S3" s="12"/>
      <c r="T3" s="12"/>
      <c r="V3" s="12"/>
      <c r="W3" s="12"/>
      <c r="X3" s="12"/>
      <c r="Y3" s="12"/>
      <c r="Z3" s="12"/>
      <c r="AA3" s="12"/>
      <c r="AB3" s="12"/>
      <c r="AD3" s="12"/>
      <c r="AE3" s="12"/>
      <c r="AF3" s="12"/>
    </row>
    <row r="4" spans="1:36" x14ac:dyDescent="0.35">
      <c r="A4" s="11"/>
      <c r="B4" s="61"/>
      <c r="C4" s="12"/>
      <c r="D4" s="12"/>
      <c r="E4" s="12"/>
      <c r="F4" s="12"/>
      <c r="G4" s="12"/>
      <c r="H4" s="12"/>
      <c r="I4" s="12"/>
      <c r="J4" s="12"/>
      <c r="K4" s="12"/>
      <c r="L4" s="12"/>
      <c r="M4" s="12"/>
      <c r="N4" s="12"/>
      <c r="O4" s="12"/>
      <c r="P4" s="12"/>
      <c r="Q4" s="12"/>
      <c r="R4" s="12"/>
      <c r="S4" s="12"/>
      <c r="T4" s="12"/>
      <c r="V4" s="12"/>
      <c r="W4" s="12"/>
      <c r="X4" s="12"/>
      <c r="Y4" s="12"/>
      <c r="Z4" s="12"/>
      <c r="AA4" s="12"/>
      <c r="AB4" s="12"/>
      <c r="AD4" s="12"/>
      <c r="AE4" s="12"/>
      <c r="AF4" s="12"/>
    </row>
    <row r="5" spans="1:36" x14ac:dyDescent="0.35">
      <c r="A5" s="11" t="s">
        <v>23</v>
      </c>
      <c r="B5" s="31">
        <v>42917</v>
      </c>
      <c r="C5" s="12" t="s">
        <v>24</v>
      </c>
      <c r="D5" s="12">
        <f>DATA!K8</f>
        <v>365</v>
      </c>
      <c r="E5" s="12"/>
      <c r="F5" s="12"/>
      <c r="G5" s="12"/>
      <c r="H5" s="12"/>
      <c r="I5" s="12"/>
      <c r="J5" s="12"/>
      <c r="K5" s="12"/>
      <c r="L5" s="12"/>
      <c r="M5" s="12"/>
      <c r="N5" s="12"/>
      <c r="O5" s="12"/>
      <c r="P5" s="12"/>
      <c r="Q5" s="12"/>
      <c r="R5" s="12"/>
      <c r="S5" s="12"/>
      <c r="T5" s="12"/>
      <c r="V5" s="12"/>
      <c r="W5" s="12"/>
      <c r="X5" s="12"/>
      <c r="Y5" s="12"/>
      <c r="Z5" s="12"/>
      <c r="AA5" s="12"/>
      <c r="AB5" s="12"/>
      <c r="AD5" s="12"/>
      <c r="AE5" s="12"/>
      <c r="AF5" s="12"/>
    </row>
    <row r="6" spans="1:36" x14ac:dyDescent="0.35">
      <c r="A6" s="11"/>
      <c r="B6" s="24" t="s">
        <v>77</v>
      </c>
      <c r="C6" s="12"/>
      <c r="D6" s="12"/>
      <c r="E6" s="12"/>
      <c r="F6" s="12"/>
      <c r="G6" s="12"/>
      <c r="H6" s="12"/>
      <c r="I6" s="12"/>
      <c r="J6" s="12" t="s">
        <v>78</v>
      </c>
      <c r="K6" s="12"/>
      <c r="L6" s="12"/>
      <c r="M6" s="12"/>
      <c r="N6" s="12"/>
      <c r="O6" s="12"/>
      <c r="P6" s="12"/>
      <c r="Q6" s="12"/>
      <c r="R6" s="12" t="s">
        <v>79</v>
      </c>
      <c r="S6" s="12"/>
      <c r="T6" s="12"/>
      <c r="V6" s="12"/>
      <c r="W6" s="12"/>
      <c r="X6" s="12"/>
      <c r="Y6" s="12"/>
      <c r="Z6" s="12" t="s">
        <v>80</v>
      </c>
      <c r="AA6" s="12"/>
      <c r="AB6" s="12"/>
      <c r="AD6" s="12"/>
      <c r="AE6" s="12"/>
      <c r="AF6" s="12"/>
      <c r="AH6" s="12" t="s">
        <v>106</v>
      </c>
      <c r="AI6" s="12"/>
      <c r="AJ6" s="12"/>
    </row>
    <row r="7" spans="1:36" x14ac:dyDescent="0.35">
      <c r="A7" s="11" t="s">
        <v>25</v>
      </c>
      <c r="B7" s="32" t="str">
        <f>'Fund &amp; Member Details'!B45</f>
        <v/>
      </c>
      <c r="C7" s="14"/>
      <c r="D7" s="14"/>
      <c r="E7" s="14"/>
      <c r="F7" s="35" t="str">
        <f>'Fund &amp; Member Details'!B57</f>
        <v/>
      </c>
      <c r="G7" s="14"/>
      <c r="H7" s="14"/>
      <c r="I7" s="14"/>
      <c r="J7" s="35" t="str">
        <f>'Fund &amp; Member Details'!C45</f>
        <v/>
      </c>
      <c r="K7" s="14"/>
      <c r="L7" s="14"/>
      <c r="M7" s="14"/>
      <c r="N7" s="35" t="str">
        <f>'Fund &amp; Member Details'!C57</f>
        <v/>
      </c>
      <c r="O7" s="14"/>
      <c r="P7" s="14"/>
      <c r="Q7" s="14"/>
      <c r="R7" s="35" t="str">
        <f>'Fund &amp; Member Details'!D45</f>
        <v/>
      </c>
      <c r="S7" s="14"/>
      <c r="T7" s="14"/>
      <c r="V7" s="35" t="str">
        <f>'Fund &amp; Member Details'!D57</f>
        <v/>
      </c>
      <c r="W7" s="14"/>
      <c r="X7" s="14"/>
      <c r="Y7" s="14"/>
      <c r="Z7" s="35" t="str">
        <f>'Fund &amp; Member Details'!E45</f>
        <v/>
      </c>
      <c r="AA7" s="14"/>
      <c r="AB7" s="14"/>
      <c r="AD7" s="35" t="str">
        <f>'Fund &amp; Member Details'!E57</f>
        <v/>
      </c>
      <c r="AE7" s="14"/>
      <c r="AF7" s="14"/>
      <c r="AH7" s="35"/>
      <c r="AI7" s="14"/>
      <c r="AJ7" s="14"/>
    </row>
    <row r="8" spans="1:36" x14ac:dyDescent="0.35">
      <c r="A8" s="11" t="s">
        <v>26</v>
      </c>
      <c r="B8" s="38">
        <v>1</v>
      </c>
      <c r="C8" s="12"/>
      <c r="D8" s="12"/>
      <c r="E8" s="12"/>
      <c r="F8" s="36">
        <v>2</v>
      </c>
      <c r="G8" s="12"/>
      <c r="H8" s="12"/>
      <c r="I8" s="12"/>
      <c r="J8" s="36">
        <v>1</v>
      </c>
      <c r="K8" s="12"/>
      <c r="L8" s="12"/>
      <c r="M8" s="12"/>
      <c r="N8" s="36">
        <v>2</v>
      </c>
      <c r="O8" s="12"/>
      <c r="P8" s="12"/>
      <c r="Q8" s="12"/>
      <c r="R8" s="36">
        <v>1</v>
      </c>
      <c r="S8" s="12"/>
      <c r="T8" s="12"/>
      <c r="V8" s="36">
        <v>2</v>
      </c>
      <c r="W8" s="12"/>
      <c r="X8" s="12"/>
      <c r="Y8" s="12"/>
      <c r="Z8" s="36">
        <v>1</v>
      </c>
      <c r="AA8" s="12"/>
      <c r="AB8" s="12"/>
      <c r="AD8" s="36">
        <v>2</v>
      </c>
      <c r="AE8" s="12"/>
      <c r="AF8" s="12"/>
      <c r="AH8" s="36">
        <v>2</v>
      </c>
      <c r="AI8" s="12"/>
      <c r="AJ8" s="12"/>
    </row>
    <row r="9" spans="1:36" x14ac:dyDescent="0.35">
      <c r="A9" s="11" t="s">
        <v>27</v>
      </c>
      <c r="B9" s="33" t="str">
        <f>+IF(B8=1,"PENSION",IF(B8=2,"SUPER","ERROR"))</f>
        <v>PENSION</v>
      </c>
      <c r="C9" s="12"/>
      <c r="D9" s="12"/>
      <c r="E9" s="12"/>
      <c r="F9" s="12" t="str">
        <f>+IF(F8=1,"PENSION",IF(F8=2,"SUPER","ERROR"))</f>
        <v>SUPER</v>
      </c>
      <c r="G9" s="12"/>
      <c r="H9" s="12"/>
      <c r="I9" s="12"/>
      <c r="J9" s="12" t="str">
        <f>+IF(J8=1,"PENSION",IF(J8=2,"SUPER","ERROR"))</f>
        <v>PENSION</v>
      </c>
      <c r="K9" s="12"/>
      <c r="L9" s="12"/>
      <c r="M9" s="12"/>
      <c r="N9" s="12" t="str">
        <f>+IF(N8=1,"PENSION",IF(N8=2,"SUPER","ERROR"))</f>
        <v>SUPER</v>
      </c>
      <c r="O9" s="12"/>
      <c r="P9" s="12"/>
      <c r="Q9" s="12"/>
      <c r="R9" s="12" t="str">
        <f>+IF(R8=1,"PENSION",IF(R8=2,"SUPER","ERROR"))</f>
        <v>PENSION</v>
      </c>
      <c r="S9" s="12"/>
      <c r="T9" s="12"/>
      <c r="V9" s="12" t="str">
        <f>+IF(V8=1,"PENSION",IF(V8=2,"SUPER","ERROR"))</f>
        <v>SUPER</v>
      </c>
      <c r="W9" s="12"/>
      <c r="X9" s="12"/>
      <c r="Y9" s="12"/>
      <c r="Z9" s="12" t="str">
        <f>+IF(Z8=1,"PENSION",IF(Z8=2,"SUPER","ERROR"))</f>
        <v>PENSION</v>
      </c>
      <c r="AA9" s="12"/>
      <c r="AB9" s="12"/>
      <c r="AD9" s="12" t="str">
        <f>+IF(AD8=1,"PENSION",IF(AD8=2,"SUPER","ERROR"))</f>
        <v>SUPER</v>
      </c>
      <c r="AE9" s="12"/>
      <c r="AF9" s="12"/>
      <c r="AH9" s="12" t="str">
        <f>+IF(AH8=1,"PENSION",IF(AH8=2,"SUPER","ERROR"))</f>
        <v>SUPER</v>
      </c>
      <c r="AI9" s="12"/>
      <c r="AJ9" s="12"/>
    </row>
    <row r="10" spans="1:36" x14ac:dyDescent="0.35">
      <c r="A10" s="11"/>
      <c r="B10" s="12"/>
      <c r="C10" s="12"/>
      <c r="D10" s="12"/>
      <c r="E10" s="12"/>
      <c r="F10" s="12"/>
      <c r="G10" s="12"/>
      <c r="H10" s="12"/>
      <c r="I10" s="12"/>
      <c r="J10" s="12"/>
      <c r="K10" s="12"/>
      <c r="L10" s="12"/>
      <c r="M10" s="12"/>
      <c r="N10" s="12"/>
      <c r="O10" s="12"/>
      <c r="P10" s="12"/>
      <c r="Q10" s="12"/>
      <c r="R10" s="12"/>
      <c r="S10" s="12"/>
      <c r="T10" s="12"/>
      <c r="V10" s="12"/>
      <c r="W10" s="12"/>
      <c r="X10" s="12"/>
      <c r="Y10" s="12"/>
      <c r="Z10" s="12"/>
      <c r="AA10" s="12"/>
      <c r="AB10" s="12"/>
      <c r="AD10" s="12"/>
      <c r="AE10" s="12"/>
      <c r="AF10" s="12"/>
      <c r="AH10" s="12"/>
      <c r="AI10" s="12"/>
      <c r="AJ10" s="12"/>
    </row>
    <row r="11" spans="1:36" x14ac:dyDescent="0.35">
      <c r="A11" s="11"/>
      <c r="B11" s="15" t="s">
        <v>28</v>
      </c>
      <c r="C11" s="15" t="s">
        <v>29</v>
      </c>
      <c r="D11" s="15" t="s">
        <v>30</v>
      </c>
      <c r="E11" s="15"/>
      <c r="F11" s="15" t="s">
        <v>28</v>
      </c>
      <c r="G11" s="15" t="s">
        <v>29</v>
      </c>
      <c r="H11" s="15" t="s">
        <v>30</v>
      </c>
      <c r="I11" s="15"/>
      <c r="J11" s="15" t="s">
        <v>28</v>
      </c>
      <c r="K11" s="15" t="s">
        <v>29</v>
      </c>
      <c r="L11" s="15" t="s">
        <v>30</v>
      </c>
      <c r="M11" s="15"/>
      <c r="N11" s="15" t="s">
        <v>28</v>
      </c>
      <c r="O11" s="15" t="s">
        <v>29</v>
      </c>
      <c r="P11" s="15" t="s">
        <v>30</v>
      </c>
      <c r="Q11" s="15"/>
      <c r="R11" s="15" t="s">
        <v>28</v>
      </c>
      <c r="S11" s="15" t="s">
        <v>29</v>
      </c>
      <c r="T11" s="15" t="s">
        <v>30</v>
      </c>
      <c r="V11" s="15" t="s">
        <v>28</v>
      </c>
      <c r="W11" s="15" t="s">
        <v>29</v>
      </c>
      <c r="X11" s="15" t="s">
        <v>30</v>
      </c>
      <c r="Y11" s="15"/>
      <c r="Z11" s="15" t="s">
        <v>28</v>
      </c>
      <c r="AA11" s="15" t="s">
        <v>29</v>
      </c>
      <c r="AB11" s="15" t="s">
        <v>30</v>
      </c>
      <c r="AD11" s="15" t="s">
        <v>28</v>
      </c>
      <c r="AE11" s="15" t="s">
        <v>29</v>
      </c>
      <c r="AF11" s="15" t="s">
        <v>30</v>
      </c>
      <c r="AH11" s="15" t="s">
        <v>28</v>
      </c>
      <c r="AI11" s="15" t="s">
        <v>29</v>
      </c>
      <c r="AJ11" s="15" t="s">
        <v>30</v>
      </c>
    </row>
    <row r="12" spans="1:36" x14ac:dyDescent="0.35">
      <c r="A12" s="11"/>
      <c r="B12" s="15" t="s">
        <v>31</v>
      </c>
      <c r="C12" s="15"/>
      <c r="D12" s="15" t="s">
        <v>29</v>
      </c>
      <c r="E12" s="15"/>
      <c r="F12" s="15" t="s">
        <v>31</v>
      </c>
      <c r="G12" s="15"/>
      <c r="H12" s="15" t="s">
        <v>29</v>
      </c>
      <c r="I12" s="15"/>
      <c r="J12" s="15" t="s">
        <v>31</v>
      </c>
      <c r="K12" s="15"/>
      <c r="L12" s="15" t="s">
        <v>29</v>
      </c>
      <c r="M12" s="15"/>
      <c r="N12" s="15" t="s">
        <v>31</v>
      </c>
      <c r="O12" s="15"/>
      <c r="P12" s="15" t="s">
        <v>29</v>
      </c>
      <c r="Q12" s="15"/>
      <c r="R12" s="15" t="s">
        <v>31</v>
      </c>
      <c r="S12" s="15"/>
      <c r="T12" s="15" t="s">
        <v>29</v>
      </c>
      <c r="V12" s="15" t="s">
        <v>31</v>
      </c>
      <c r="W12" s="15"/>
      <c r="X12" s="15" t="s">
        <v>29</v>
      </c>
      <c r="Y12" s="15"/>
      <c r="Z12" s="15" t="s">
        <v>31</v>
      </c>
      <c r="AA12" s="15"/>
      <c r="AB12" s="15" t="s">
        <v>29</v>
      </c>
      <c r="AD12" s="15" t="s">
        <v>31</v>
      </c>
      <c r="AE12" s="15"/>
      <c r="AF12" s="15" t="s">
        <v>29</v>
      </c>
      <c r="AH12" s="15" t="s">
        <v>31</v>
      </c>
      <c r="AI12" s="15"/>
      <c r="AJ12" s="15" t="s">
        <v>29</v>
      </c>
    </row>
    <row r="13" spans="1:36" x14ac:dyDescent="0.35">
      <c r="A13" s="11"/>
      <c r="B13" s="12"/>
      <c r="C13" s="12"/>
      <c r="D13" s="12"/>
      <c r="E13" s="12"/>
      <c r="F13" s="12"/>
      <c r="G13" s="12"/>
      <c r="H13" s="12"/>
      <c r="I13" s="12"/>
      <c r="J13" s="12"/>
      <c r="K13" s="12"/>
      <c r="L13" s="12"/>
      <c r="M13" s="12"/>
      <c r="N13" s="12"/>
      <c r="O13" s="12"/>
      <c r="P13" s="12"/>
      <c r="Q13" s="12"/>
      <c r="R13" s="12"/>
      <c r="S13" s="12"/>
      <c r="T13" s="12"/>
      <c r="V13" s="12"/>
      <c r="W13" s="12"/>
      <c r="X13" s="12"/>
      <c r="Y13" s="12"/>
      <c r="Z13" s="12"/>
      <c r="AA13" s="12"/>
      <c r="AB13" s="12"/>
      <c r="AD13" s="12"/>
      <c r="AE13" s="12"/>
      <c r="AF13" s="12"/>
      <c r="AH13" s="12"/>
      <c r="AI13" s="12"/>
      <c r="AJ13" s="12"/>
    </row>
    <row r="14" spans="1:36" x14ac:dyDescent="0.35">
      <c r="A14" s="11" t="s">
        <v>32</v>
      </c>
      <c r="B14" s="13">
        <f>IF($B5&gt;0,+$B5-$D5,0)</f>
        <v>42552</v>
      </c>
      <c r="C14" s="34">
        <f>'Fund &amp; Member Details'!B47</f>
        <v>0</v>
      </c>
      <c r="D14" s="12">
        <f>IF(C14&lt;&gt;0,ROUND(C14*($B$5-B14)/$D$5,0),0)</f>
        <v>0</v>
      </c>
      <c r="E14" s="12"/>
      <c r="F14" s="13">
        <f>IF($B5&gt;0,+$B5-$D5,0)</f>
        <v>42552</v>
      </c>
      <c r="G14" s="34">
        <f>'Fund &amp; Member Details'!B59</f>
        <v>0</v>
      </c>
      <c r="H14" s="12">
        <f>IF(G14&lt;&gt;0,ROUND(G14*($B$5-F14)/$D$5,0),0)</f>
        <v>0</v>
      </c>
      <c r="I14" s="12"/>
      <c r="J14" s="13">
        <f>IF($B5&gt;0,+$B5-$D5,0)</f>
        <v>42552</v>
      </c>
      <c r="K14" s="34">
        <f>'Fund &amp; Member Details'!C47</f>
        <v>0</v>
      </c>
      <c r="L14" s="12">
        <f>IF(K14&lt;&gt;0,ROUND(K14*($B$5-J14)/$D$5,0),0)</f>
        <v>0</v>
      </c>
      <c r="M14" s="12"/>
      <c r="N14" s="13">
        <f>IF($B5&gt;0,+$B5-$D5,0)</f>
        <v>42552</v>
      </c>
      <c r="O14" s="34">
        <f>'Fund &amp; Member Details'!C59</f>
        <v>0</v>
      </c>
      <c r="P14" s="12">
        <f>IF(O14&lt;&gt;0,ROUND(O14*($B$5-N14)/$D$5,0),0)</f>
        <v>0</v>
      </c>
      <c r="Q14" s="12"/>
      <c r="R14" s="13">
        <f>IF($B5&gt;0,+$B5-$D5,0)</f>
        <v>42552</v>
      </c>
      <c r="S14" s="34">
        <f>'Fund &amp; Member Details'!D47</f>
        <v>0</v>
      </c>
      <c r="T14" s="12">
        <f>IF(S14&lt;&gt;0,ROUND(S14*($B$5-R14)/$D$5,0),0)</f>
        <v>0</v>
      </c>
      <c r="V14" s="13">
        <f>IF($B5&gt;0,+$B5-$D5,0)</f>
        <v>42552</v>
      </c>
      <c r="W14" s="34">
        <f>'Fund &amp; Member Details'!D59</f>
        <v>0</v>
      </c>
      <c r="X14" s="12">
        <f>IF(W14&lt;&gt;0,ROUND(W14*($B$5-V14)/$D$5,0),0)</f>
        <v>0</v>
      </c>
      <c r="Y14" s="12"/>
      <c r="Z14" s="13">
        <f>IF($B5&gt;0,+$B5-$D5,0)</f>
        <v>42552</v>
      </c>
      <c r="AA14" s="34">
        <f>'Fund &amp; Member Details'!E47</f>
        <v>0</v>
      </c>
      <c r="AB14" s="12">
        <f>IF(AA14&lt;&gt;0,ROUND(AA14*($B$5-Z14)/$D$5,0),0)</f>
        <v>0</v>
      </c>
      <c r="AD14" s="13">
        <f>IF($B5&gt;0,+$B5-$D5,0)</f>
        <v>42552</v>
      </c>
      <c r="AE14" s="34">
        <f>'Fund &amp; Member Details'!E59</f>
        <v>0</v>
      </c>
      <c r="AF14" s="12">
        <f>IF(AE14&lt;&gt;0,ROUND(AE14*($B$5-AD14)/$D$5,0),0)</f>
        <v>0</v>
      </c>
      <c r="AH14" s="13">
        <f>IF($B5&gt;0,+$B5-$D5,0)</f>
        <v>42552</v>
      </c>
      <c r="AI14" s="34">
        <f>'Fund &amp; Member Details'!F59</f>
        <v>0</v>
      </c>
      <c r="AJ14" s="12">
        <f>IF(AI14&lt;&gt;0,ROUND(AI14*($B$5-AH14)/$D$5,0),0)</f>
        <v>0</v>
      </c>
    </row>
    <row r="15" spans="1:36" x14ac:dyDescent="0.35">
      <c r="A15" s="11"/>
      <c r="B15" s="13"/>
      <c r="C15" s="30"/>
      <c r="D15" s="12"/>
      <c r="E15" s="12"/>
      <c r="F15" s="13"/>
      <c r="G15" s="30"/>
      <c r="H15" s="12"/>
      <c r="I15" s="12"/>
      <c r="J15" s="13"/>
      <c r="K15" s="30"/>
      <c r="L15" s="12"/>
      <c r="M15" s="12"/>
      <c r="N15" s="13"/>
      <c r="O15" s="37"/>
      <c r="P15" s="12"/>
      <c r="Q15" s="12"/>
      <c r="R15" s="13"/>
      <c r="S15" s="30"/>
      <c r="T15" s="12"/>
      <c r="V15" s="13"/>
      <c r="W15" s="37"/>
      <c r="X15" s="12"/>
      <c r="Y15" s="12"/>
      <c r="Z15" s="13"/>
      <c r="AA15" s="30"/>
      <c r="AB15" s="12"/>
      <c r="AD15" s="13"/>
      <c r="AE15" s="37"/>
      <c r="AF15" s="12"/>
      <c r="AH15" s="13"/>
      <c r="AI15" s="37"/>
      <c r="AJ15" s="12"/>
    </row>
    <row r="16" spans="1:36" x14ac:dyDescent="0.35">
      <c r="A16" s="11" t="s">
        <v>33</v>
      </c>
      <c r="B16" s="41">
        <v>42736</v>
      </c>
      <c r="C16" s="34">
        <f>Transactions!D16</f>
        <v>0</v>
      </c>
      <c r="D16" s="12">
        <f>IF(B16&lt;&gt;0,IF(C16&lt;&gt;0,IF(B16&gt;=$B$5,"date too late",IF(($B$5-B16)&gt;$D$5,"date too early",ROUND(C16*($B$5-B16)/$D$5,0))),0)," ")</f>
        <v>0</v>
      </c>
      <c r="E16" s="12"/>
      <c r="F16" s="41">
        <v>42736</v>
      </c>
      <c r="G16" s="34">
        <f>Transactions!L16</f>
        <v>0</v>
      </c>
      <c r="H16" s="12">
        <f>IF(F16&lt;&gt;0,IF(G16&lt;&gt;0,IF(F16&gt;=$B$5,"date too late",IF(($B$5-F16)&gt;$D$5,"date too early",ROUND(G16*($B$5-F16)/$D$5,0))),0)," ")</f>
        <v>0</v>
      </c>
      <c r="I16" s="12"/>
      <c r="J16" s="41">
        <v>42736</v>
      </c>
      <c r="K16" s="34">
        <f>Transactions!E16</f>
        <v>0</v>
      </c>
      <c r="L16" s="12">
        <f>IF(J16&lt;&gt;0,IF(K16&lt;&gt;0,IF(J16&gt;=$B$5,"date too late",IF(($B$5-J16)&gt;$D$5,"date too early",ROUND(K16*($B$5-J16)/$D$5,0))),0)," ")</f>
        <v>0</v>
      </c>
      <c r="M16" s="12"/>
      <c r="N16" s="41">
        <v>42736</v>
      </c>
      <c r="O16" s="34">
        <f>Transactions!M16</f>
        <v>0</v>
      </c>
      <c r="P16" s="12">
        <f>IF(N16&lt;&gt;0,IF(O16&lt;&gt;0,IF(N16&gt;=$B$5,"date too late",IF(($B$5-N16)&gt;$D$5,"date too early",ROUND(O16*($B$5-N16)/$D$5,0))),0)," ")</f>
        <v>0</v>
      </c>
      <c r="Q16" s="12"/>
      <c r="R16" s="41">
        <v>42736</v>
      </c>
      <c r="S16" s="34">
        <f>Transactions!F16</f>
        <v>0</v>
      </c>
      <c r="T16" s="12">
        <f>IF(R16&lt;&gt;0,IF(S16&lt;&gt;0,IF(R16&gt;=$B$5,"date too late",IF(($B$5-R16)&gt;$D$5,"date too early",ROUND(S16*($B$5-R16)/$D$5,0))),0)," ")</f>
        <v>0</v>
      </c>
      <c r="V16" s="41">
        <v>42736</v>
      </c>
      <c r="W16" s="34">
        <f>Transactions!N16</f>
        <v>0</v>
      </c>
      <c r="X16" s="12">
        <f t="shared" ref="X16:X46" si="0">IF(V16&lt;&gt;0,IF(W16&lt;&gt;0,IF(V16&gt;=$B$5,"date too late",IF(($B$5-V16)&gt;$D$5,"date too early",ROUND(W16*($B$5-V16)/$D$5,0))),0)," ")</f>
        <v>0</v>
      </c>
      <c r="Y16" s="12"/>
      <c r="Z16" s="41">
        <v>42736</v>
      </c>
      <c r="AA16" s="34">
        <f>Transactions!G16</f>
        <v>0</v>
      </c>
      <c r="AB16" s="12">
        <f t="shared" ref="AB16:AB46" si="1">IF(Z16&lt;&gt;0,IF(AA16&lt;&gt;0,IF(Z16&gt;=$B$5,"date too late",IF(($B$5-Z16)&gt;$D$5,"date too early",ROUND(AA16*($B$5-Z16)/$D$5,0))),0)," ")</f>
        <v>0</v>
      </c>
      <c r="AD16" s="41">
        <v>42736</v>
      </c>
      <c r="AE16" s="34">
        <f>Transactions!O16</f>
        <v>0</v>
      </c>
      <c r="AF16" s="12">
        <f t="shared" ref="AF16:AF46" si="2">IF(AD16&lt;&gt;0,IF(AE16&lt;&gt;0,IF(AD16&gt;=$B$5,"date too late",IF(($B$5-AD16)&gt;$D$5,"date too early",ROUND(AE16*($B$5-AD16)/$D$5,0))),0)," ")</f>
        <v>0</v>
      </c>
      <c r="AH16" s="41">
        <v>42736</v>
      </c>
      <c r="AI16" s="34">
        <f>Transactions!P16</f>
        <v>0</v>
      </c>
      <c r="AJ16" s="12">
        <f t="shared" ref="AJ16:AJ46" si="3">IF(AH16&lt;&gt;0,IF(AI16&lt;&gt;0,IF(AH16&gt;=$B$5,"date too late",IF(($B$5-AH16)&gt;$D$5,"date too early",ROUND(AI16*($B$5-AH16)/$D$5,0))),0)," ")</f>
        <v>0</v>
      </c>
    </row>
    <row r="17" spans="1:36" x14ac:dyDescent="0.35">
      <c r="A17" s="11"/>
      <c r="B17" s="41">
        <v>42736</v>
      </c>
      <c r="C17" s="34">
        <f>Transactions!D17</f>
        <v>0</v>
      </c>
      <c r="D17" s="12">
        <f>IF(B17&lt;&gt;0,IF(C17&lt;&gt;0,IF(B17&gt;=$B$5,"date too late",IF(($B$5-B17)&gt;$D$5,"date too early",ROUND(C17*($B$5-B17)/$D$5,0))),0)," ")</f>
        <v>0</v>
      </c>
      <c r="E17" s="12"/>
      <c r="F17" s="41">
        <v>42736</v>
      </c>
      <c r="G17" s="34">
        <f>Transactions!L17</f>
        <v>0</v>
      </c>
      <c r="H17" s="12">
        <f>IF(F17&lt;&gt;0,IF(G17&lt;&gt;0,IF(F17&gt;=$B$5,"date too late",IF(($B$5-F17)&gt;$D$5,"date too early",ROUND(G17*($B$5-F17)/$D$5,0))),0)," ")</f>
        <v>0</v>
      </c>
      <c r="I17" s="12"/>
      <c r="J17" s="41">
        <v>42736</v>
      </c>
      <c r="K17" s="34">
        <f>Transactions!E17</f>
        <v>0</v>
      </c>
      <c r="L17" s="12">
        <f>IF(J17&lt;&gt;0,IF(K17&lt;&gt;0,IF(J17&gt;=$B$5,"date too late",IF(($B$5-J17)&gt;$D$5,"date too early",ROUND(K17*($B$5-J17)/$D$5,0))),0)," ")</f>
        <v>0</v>
      </c>
      <c r="M17" s="12"/>
      <c r="N17" s="41">
        <v>42736</v>
      </c>
      <c r="O17" s="34">
        <f>Transactions!M17</f>
        <v>0</v>
      </c>
      <c r="P17" s="12">
        <f>IF(N17&lt;&gt;0,IF(O17&lt;&gt;0,IF(N17&gt;=$B$5,"date too late",IF(($B$5-N17)&gt;$D$5,"date too early",ROUND(O17*($B$5-N17)/$D$5,0))),0)," ")</f>
        <v>0</v>
      </c>
      <c r="Q17" s="12"/>
      <c r="R17" s="41">
        <v>42736</v>
      </c>
      <c r="S17" s="34">
        <f>Transactions!F17</f>
        <v>0</v>
      </c>
      <c r="T17" s="12">
        <f>IF(R17&lt;&gt;0,IF(S17&lt;&gt;0,IF(R17&gt;=$B$5,"date too late",IF(($B$5-R17)&gt;$D$5,"date too early",ROUND(S17*($B$5-R17)/$D$5,0))),0)," ")</f>
        <v>0</v>
      </c>
      <c r="V17" s="41">
        <v>42736</v>
      </c>
      <c r="W17" s="34">
        <f>Transactions!N17</f>
        <v>0</v>
      </c>
      <c r="X17" s="12">
        <f>IF(V17&lt;&gt;0,IF(W17&lt;&gt;0,IF(V17&gt;=$B$5,"date too late",IF(($B$5-V17)&gt;$D$5,"date too early",ROUND(W17*($B$5-V17)/$D$5,0))),0)," ")</f>
        <v>0</v>
      </c>
      <c r="Y17" s="12"/>
      <c r="Z17" s="41">
        <v>42736</v>
      </c>
      <c r="AA17" s="34">
        <f>Transactions!G17</f>
        <v>0</v>
      </c>
      <c r="AB17" s="12">
        <f>IF(Z17&lt;&gt;0,IF(AA17&lt;&gt;0,IF(Z17&gt;=$B$5,"date too late",IF(($B$5-Z17)&gt;$D$5,"date too early",ROUND(AA17*($B$5-Z17)/$D$5,0))),0)," ")</f>
        <v>0</v>
      </c>
      <c r="AD17" s="41">
        <v>42736</v>
      </c>
      <c r="AE17" s="34">
        <f>Transactions!O17</f>
        <v>0</v>
      </c>
      <c r="AF17" s="12">
        <f>IF(AD17&lt;&gt;0,IF(AE17&lt;&gt;0,IF(AD17&gt;=$B$5,"date too late",IF(($B$5-AD17)&gt;$D$5,"date too early",ROUND(AE17*($B$5-AD17)/$D$5,0))),0)," ")</f>
        <v>0</v>
      </c>
      <c r="AH17" s="41">
        <v>42736</v>
      </c>
      <c r="AI17" s="34">
        <f>Transactions!P17</f>
        <v>0</v>
      </c>
      <c r="AJ17" s="12">
        <f>IF(AH17&lt;&gt;0,IF(AI17&lt;&gt;0,IF(AH17&gt;=$B$5,"date too late",IF(($B$5-AH17)&gt;$D$5,"date too early",ROUND(AI17*($B$5-AH17)/$D$5,0))),0)," ")</f>
        <v>0</v>
      </c>
    </row>
    <row r="18" spans="1:36" x14ac:dyDescent="0.35">
      <c r="A18" s="11"/>
      <c r="B18" s="41" t="str">
        <f>IF(Transactions!$C18&gt;0,Transactions!$C18,"")</f>
        <v/>
      </c>
      <c r="C18" s="34">
        <f>Transactions!D18</f>
        <v>0</v>
      </c>
      <c r="D18" s="12">
        <f t="shared" ref="D18:D46" si="4">IF(B18&lt;&gt;0,IF(C18&lt;&gt;0,IF(B18&gt;=$B$5,"date too late",IF(($B$5-B18)&gt;$D$5,"date too early",ROUND(C18*($B$5-B18)/$D$5,0))),0)," ")</f>
        <v>0</v>
      </c>
      <c r="E18" s="12"/>
      <c r="F18" s="41" t="str">
        <f>IF(Transactions!$K18&gt;0,Transactions!$K18,"")</f>
        <v/>
      </c>
      <c r="G18" s="34">
        <f>Transactions!L18</f>
        <v>0</v>
      </c>
      <c r="H18" s="12">
        <f t="shared" ref="H18:H46" si="5">IF(F18&lt;&gt;0,IF(G18&lt;&gt;0,IF(F18&gt;=$B$5,"date too late",IF(($B$5-F18)&gt;$D$5,"date too early",ROUND(G18*($B$5-F18)/$D$5,0))),0)," ")</f>
        <v>0</v>
      </c>
      <c r="I18" s="12"/>
      <c r="J18" s="41" t="str">
        <f>IF(Transactions!$C18&gt;0,Transactions!$C18,"")</f>
        <v/>
      </c>
      <c r="K18" s="34">
        <f>Transactions!E18</f>
        <v>0</v>
      </c>
      <c r="L18" s="12">
        <f t="shared" ref="L18:L46" si="6">IF(J18&lt;&gt;0,IF(K18&lt;&gt;0,IF(J18&gt;=$B$5,"date too late",IF(($B$5-J18)&gt;$D$5,"date too early",ROUND(K18*($B$5-J18)/$D$5,0))),0)," ")</f>
        <v>0</v>
      </c>
      <c r="M18" s="12"/>
      <c r="N18" s="41" t="str">
        <f>IF(Transactions!$K18&gt;0,Transactions!$K18,"")</f>
        <v/>
      </c>
      <c r="O18" s="34">
        <f>Transactions!M18</f>
        <v>0</v>
      </c>
      <c r="P18" s="12">
        <f t="shared" ref="P18:P46" si="7">IF(N18&lt;&gt;0,IF(O18&lt;&gt;0,IF(N18&gt;=$B$5,"date too late",IF(($B$5-N18)&gt;$D$5,"date too early",ROUND(O18*($B$5-N18)/$D$5,0))),0)," ")</f>
        <v>0</v>
      </c>
      <c r="Q18" s="12"/>
      <c r="R18" s="41" t="str">
        <f>IF(Transactions!$C18&gt;0,Transactions!$C18,"")</f>
        <v/>
      </c>
      <c r="S18" s="34">
        <f>Transactions!F18</f>
        <v>0</v>
      </c>
      <c r="T18" s="12">
        <f t="shared" ref="T18:T46" si="8">IF(R18&lt;&gt;0,IF(S18&lt;&gt;0,IF(R18&gt;=$B$5,"date too late",IF(($B$5-R18)&gt;$D$5,"date too early",ROUND(S18*($B$5-R18)/$D$5,0))),0)," ")</f>
        <v>0</v>
      </c>
      <c r="V18" s="41" t="str">
        <f>IF(Transactions!$K18&gt;0,Transactions!$K18,"")</f>
        <v/>
      </c>
      <c r="W18" s="34">
        <f>Transactions!N18</f>
        <v>0</v>
      </c>
      <c r="X18" s="12">
        <f t="shared" si="0"/>
        <v>0</v>
      </c>
      <c r="Y18" s="12"/>
      <c r="Z18" s="41" t="str">
        <f>IF(Transactions!$C18&gt;0,Transactions!$C18,"")</f>
        <v/>
      </c>
      <c r="AA18" s="34">
        <f>Transactions!G18</f>
        <v>0</v>
      </c>
      <c r="AB18" s="12">
        <f t="shared" si="1"/>
        <v>0</v>
      </c>
      <c r="AD18" s="41" t="str">
        <f>IF(Transactions!$K18&gt;0,Transactions!$K18,"")</f>
        <v/>
      </c>
      <c r="AE18" s="34">
        <f>Transactions!O18</f>
        <v>0</v>
      </c>
      <c r="AF18" s="12">
        <f t="shared" si="2"/>
        <v>0</v>
      </c>
      <c r="AH18" s="41" t="str">
        <f>IF(Transactions!$K18&gt;0,Transactions!$K18,"")</f>
        <v/>
      </c>
      <c r="AI18" s="34">
        <f>Transactions!P18</f>
        <v>0</v>
      </c>
      <c r="AJ18" s="12">
        <f t="shared" si="3"/>
        <v>0</v>
      </c>
    </row>
    <row r="19" spans="1:36" x14ac:dyDescent="0.35">
      <c r="A19" s="11"/>
      <c r="B19" s="41" t="str">
        <f>IF(Transactions!$C19&gt;0,Transactions!$C19,"")</f>
        <v/>
      </c>
      <c r="C19" s="34">
        <f>Transactions!D19</f>
        <v>0</v>
      </c>
      <c r="D19" s="12">
        <f t="shared" si="4"/>
        <v>0</v>
      </c>
      <c r="E19" s="12"/>
      <c r="F19" s="41" t="str">
        <f>IF(Transactions!$K19&gt;0,Transactions!$K19,"")</f>
        <v/>
      </c>
      <c r="G19" s="34">
        <f>Transactions!L19</f>
        <v>0</v>
      </c>
      <c r="H19" s="12">
        <f t="shared" si="5"/>
        <v>0</v>
      </c>
      <c r="I19" s="12"/>
      <c r="J19" s="41" t="str">
        <f>IF(Transactions!$C19&gt;0,Transactions!$C19,"")</f>
        <v/>
      </c>
      <c r="K19" s="34">
        <f>Transactions!E19</f>
        <v>0</v>
      </c>
      <c r="L19" s="12">
        <f t="shared" si="6"/>
        <v>0</v>
      </c>
      <c r="M19" s="12"/>
      <c r="N19" s="41" t="str">
        <f>IF(Transactions!$K19&gt;0,Transactions!$K19,"")</f>
        <v/>
      </c>
      <c r="O19" s="34">
        <f>Transactions!M19</f>
        <v>0</v>
      </c>
      <c r="P19" s="12">
        <f t="shared" si="7"/>
        <v>0</v>
      </c>
      <c r="Q19" s="12"/>
      <c r="R19" s="41" t="str">
        <f>IF(Transactions!$C19&gt;0,Transactions!$C19,"")</f>
        <v/>
      </c>
      <c r="S19" s="34">
        <f>Transactions!F19</f>
        <v>0</v>
      </c>
      <c r="T19" s="12">
        <f t="shared" si="8"/>
        <v>0</v>
      </c>
      <c r="V19" s="41" t="str">
        <f>IF(Transactions!$K19&gt;0,Transactions!$K19,"")</f>
        <v/>
      </c>
      <c r="W19" s="34">
        <f>Transactions!N19</f>
        <v>0</v>
      </c>
      <c r="X19" s="12">
        <f t="shared" si="0"/>
        <v>0</v>
      </c>
      <c r="Y19" s="12"/>
      <c r="Z19" s="41" t="str">
        <f>IF(Transactions!$C19&gt;0,Transactions!$C19,"")</f>
        <v/>
      </c>
      <c r="AA19" s="34">
        <f>Transactions!G19</f>
        <v>0</v>
      </c>
      <c r="AB19" s="12">
        <f t="shared" si="1"/>
        <v>0</v>
      </c>
      <c r="AD19" s="41" t="str">
        <f>IF(Transactions!$K19&gt;0,Transactions!$K19,"")</f>
        <v/>
      </c>
      <c r="AE19" s="34">
        <f>Transactions!O19</f>
        <v>0</v>
      </c>
      <c r="AF19" s="12">
        <f t="shared" si="2"/>
        <v>0</v>
      </c>
      <c r="AH19" s="41" t="str">
        <f>IF(Transactions!$K19&gt;0,Transactions!$K19,"")</f>
        <v/>
      </c>
      <c r="AI19" s="34">
        <f>Transactions!P19</f>
        <v>0</v>
      </c>
      <c r="AJ19" s="12">
        <f t="shared" si="3"/>
        <v>0</v>
      </c>
    </row>
    <row r="20" spans="1:36" x14ac:dyDescent="0.35">
      <c r="A20" s="11"/>
      <c r="B20" s="41" t="str">
        <f>IF(Transactions!$C20&gt;0,Transactions!$C20,"")</f>
        <v/>
      </c>
      <c r="C20" s="34">
        <f>Transactions!D20</f>
        <v>0</v>
      </c>
      <c r="D20" s="12">
        <f t="shared" si="4"/>
        <v>0</v>
      </c>
      <c r="E20" s="12"/>
      <c r="F20" s="41" t="str">
        <f>IF(Transactions!$K20&gt;0,Transactions!$K20,"")</f>
        <v/>
      </c>
      <c r="G20" s="34">
        <f>Transactions!L20</f>
        <v>0</v>
      </c>
      <c r="H20" s="12">
        <f t="shared" si="5"/>
        <v>0</v>
      </c>
      <c r="I20" s="12"/>
      <c r="J20" s="41" t="str">
        <f>IF(Transactions!$C20&gt;0,Transactions!$C20,"")</f>
        <v/>
      </c>
      <c r="K20" s="34">
        <f>Transactions!E20</f>
        <v>0</v>
      </c>
      <c r="L20" s="12">
        <f t="shared" si="6"/>
        <v>0</v>
      </c>
      <c r="M20" s="12"/>
      <c r="N20" s="41" t="str">
        <f>IF(Transactions!$K20&gt;0,Transactions!$K20,"")</f>
        <v/>
      </c>
      <c r="O20" s="34">
        <f>Transactions!M20</f>
        <v>0</v>
      </c>
      <c r="P20" s="12">
        <f t="shared" si="7"/>
        <v>0</v>
      </c>
      <c r="Q20" s="12"/>
      <c r="R20" s="41" t="str">
        <f>IF(Transactions!$C20&gt;0,Transactions!$C20,"")</f>
        <v/>
      </c>
      <c r="S20" s="34">
        <f>Transactions!F20</f>
        <v>0</v>
      </c>
      <c r="T20" s="12">
        <f t="shared" si="8"/>
        <v>0</v>
      </c>
      <c r="V20" s="41" t="str">
        <f>IF(Transactions!$K20&gt;0,Transactions!$K20,"")</f>
        <v/>
      </c>
      <c r="W20" s="34">
        <f>Transactions!N20</f>
        <v>0</v>
      </c>
      <c r="X20" s="12">
        <f t="shared" si="0"/>
        <v>0</v>
      </c>
      <c r="Y20" s="12"/>
      <c r="Z20" s="41" t="str">
        <f>IF(Transactions!$C20&gt;0,Transactions!$C20,"")</f>
        <v/>
      </c>
      <c r="AA20" s="34">
        <f>Transactions!G20</f>
        <v>0</v>
      </c>
      <c r="AB20" s="12">
        <f t="shared" si="1"/>
        <v>0</v>
      </c>
      <c r="AD20" s="41" t="str">
        <f>IF(Transactions!$K20&gt;0,Transactions!$K20,"")</f>
        <v/>
      </c>
      <c r="AE20" s="34">
        <f>Transactions!O20</f>
        <v>0</v>
      </c>
      <c r="AF20" s="12">
        <f t="shared" si="2"/>
        <v>0</v>
      </c>
      <c r="AH20" s="41" t="str">
        <f>IF(Transactions!$K20&gt;0,Transactions!$K20,"")</f>
        <v/>
      </c>
      <c r="AI20" s="34">
        <f>Transactions!P20</f>
        <v>0</v>
      </c>
      <c r="AJ20" s="12">
        <f t="shared" si="3"/>
        <v>0</v>
      </c>
    </row>
    <row r="21" spans="1:36" x14ac:dyDescent="0.35">
      <c r="A21" s="11"/>
      <c r="B21" s="41" t="str">
        <f>IF(Transactions!$C21&gt;0,Transactions!$C21,"")</f>
        <v/>
      </c>
      <c r="C21" s="34">
        <f>Transactions!D21</f>
        <v>0</v>
      </c>
      <c r="D21" s="12">
        <f t="shared" si="4"/>
        <v>0</v>
      </c>
      <c r="E21" s="12"/>
      <c r="F21" s="41" t="str">
        <f>IF(Transactions!$K21&gt;0,Transactions!$K21,"")</f>
        <v/>
      </c>
      <c r="G21" s="34">
        <f>Transactions!L21</f>
        <v>0</v>
      </c>
      <c r="H21" s="12">
        <f t="shared" si="5"/>
        <v>0</v>
      </c>
      <c r="I21" s="12"/>
      <c r="J21" s="41" t="str">
        <f>IF(Transactions!$C21&gt;0,Transactions!$C21,"")</f>
        <v/>
      </c>
      <c r="K21" s="34">
        <f>Transactions!E21</f>
        <v>0</v>
      </c>
      <c r="L21" s="12">
        <f t="shared" si="6"/>
        <v>0</v>
      </c>
      <c r="M21" s="12"/>
      <c r="N21" s="41" t="str">
        <f>IF(Transactions!$K21&gt;0,Transactions!$K21,"")</f>
        <v/>
      </c>
      <c r="O21" s="34">
        <f>Transactions!M21</f>
        <v>0</v>
      </c>
      <c r="P21" s="12">
        <f t="shared" si="7"/>
        <v>0</v>
      </c>
      <c r="Q21" s="12"/>
      <c r="R21" s="41" t="str">
        <f>IF(Transactions!$C21&gt;0,Transactions!$C21,"")</f>
        <v/>
      </c>
      <c r="S21" s="34">
        <f>Transactions!F21</f>
        <v>0</v>
      </c>
      <c r="T21" s="12">
        <f t="shared" si="8"/>
        <v>0</v>
      </c>
      <c r="V21" s="41" t="str">
        <f>IF(Transactions!$K21&gt;0,Transactions!$K21,"")</f>
        <v/>
      </c>
      <c r="W21" s="34">
        <f>Transactions!N21</f>
        <v>0</v>
      </c>
      <c r="X21" s="12">
        <f t="shared" si="0"/>
        <v>0</v>
      </c>
      <c r="Y21" s="12"/>
      <c r="Z21" s="41" t="str">
        <f>IF(Transactions!$C21&gt;0,Transactions!$C21,"")</f>
        <v/>
      </c>
      <c r="AA21" s="34">
        <f>Transactions!G21</f>
        <v>0</v>
      </c>
      <c r="AB21" s="12">
        <f t="shared" si="1"/>
        <v>0</v>
      </c>
      <c r="AD21" s="41" t="str">
        <f>IF(Transactions!$K21&gt;0,Transactions!$K21,"")</f>
        <v/>
      </c>
      <c r="AE21" s="34">
        <f>Transactions!O21</f>
        <v>0</v>
      </c>
      <c r="AF21" s="12">
        <f t="shared" si="2"/>
        <v>0</v>
      </c>
      <c r="AH21" s="41" t="str">
        <f>IF(Transactions!$K21&gt;0,Transactions!$K21,"")</f>
        <v/>
      </c>
      <c r="AI21" s="34">
        <f>Transactions!P21</f>
        <v>0</v>
      </c>
      <c r="AJ21" s="12">
        <f t="shared" si="3"/>
        <v>0</v>
      </c>
    </row>
    <row r="22" spans="1:36" x14ac:dyDescent="0.35">
      <c r="A22" s="11"/>
      <c r="B22" s="41" t="str">
        <f>IF(Transactions!$C22&gt;0,Transactions!$C22,"")</f>
        <v/>
      </c>
      <c r="C22" s="34">
        <f>Transactions!D22</f>
        <v>0</v>
      </c>
      <c r="D22" s="12">
        <f t="shared" si="4"/>
        <v>0</v>
      </c>
      <c r="E22" s="12"/>
      <c r="F22" s="41" t="str">
        <f>IF(Transactions!$K22&gt;0,Transactions!$K22,"")</f>
        <v/>
      </c>
      <c r="G22" s="34">
        <f>Transactions!L22</f>
        <v>0</v>
      </c>
      <c r="H22" s="12">
        <f t="shared" si="5"/>
        <v>0</v>
      </c>
      <c r="I22" s="12"/>
      <c r="J22" s="41" t="str">
        <f>IF(Transactions!$C22&gt;0,Transactions!$C22,"")</f>
        <v/>
      </c>
      <c r="K22" s="34">
        <f>Transactions!E22</f>
        <v>0</v>
      </c>
      <c r="L22" s="12">
        <f t="shared" si="6"/>
        <v>0</v>
      </c>
      <c r="M22" s="12"/>
      <c r="N22" s="41" t="str">
        <f>IF(Transactions!$K22&gt;0,Transactions!$K22,"")</f>
        <v/>
      </c>
      <c r="O22" s="34">
        <f>Transactions!M22</f>
        <v>0</v>
      </c>
      <c r="P22" s="12">
        <f t="shared" si="7"/>
        <v>0</v>
      </c>
      <c r="Q22" s="12"/>
      <c r="R22" s="41" t="str">
        <f>IF(Transactions!$C22&gt;0,Transactions!$C22,"")</f>
        <v/>
      </c>
      <c r="S22" s="34">
        <f>Transactions!F22</f>
        <v>0</v>
      </c>
      <c r="T22" s="12">
        <f t="shared" si="8"/>
        <v>0</v>
      </c>
      <c r="V22" s="41" t="str">
        <f>IF(Transactions!$K22&gt;0,Transactions!$K22,"")</f>
        <v/>
      </c>
      <c r="W22" s="34">
        <f>Transactions!N22</f>
        <v>0</v>
      </c>
      <c r="X22" s="12">
        <f t="shared" si="0"/>
        <v>0</v>
      </c>
      <c r="Y22" s="12"/>
      <c r="Z22" s="41" t="str">
        <f>IF(Transactions!$C22&gt;0,Transactions!$C22,"")</f>
        <v/>
      </c>
      <c r="AA22" s="34">
        <f>Transactions!G22</f>
        <v>0</v>
      </c>
      <c r="AB22" s="12">
        <f t="shared" si="1"/>
        <v>0</v>
      </c>
      <c r="AD22" s="41" t="str">
        <f>IF(Transactions!$K22&gt;0,Transactions!$K22,"")</f>
        <v/>
      </c>
      <c r="AE22" s="34">
        <f>Transactions!O22</f>
        <v>0</v>
      </c>
      <c r="AF22" s="12">
        <f t="shared" si="2"/>
        <v>0</v>
      </c>
      <c r="AH22" s="41" t="str">
        <f>IF(Transactions!$K22&gt;0,Transactions!$K22,"")</f>
        <v/>
      </c>
      <c r="AI22" s="34">
        <f>Transactions!P22</f>
        <v>0</v>
      </c>
      <c r="AJ22" s="12">
        <f t="shared" si="3"/>
        <v>0</v>
      </c>
    </row>
    <row r="23" spans="1:36" x14ac:dyDescent="0.35">
      <c r="A23" s="11"/>
      <c r="B23" s="41" t="str">
        <f>IF(Transactions!$C23&gt;0,Transactions!$C23,"")</f>
        <v/>
      </c>
      <c r="C23" s="34">
        <f>Transactions!D23</f>
        <v>0</v>
      </c>
      <c r="D23" s="12">
        <f t="shared" si="4"/>
        <v>0</v>
      </c>
      <c r="E23" s="12"/>
      <c r="F23" s="41" t="str">
        <f>IF(Transactions!$K23&gt;0,Transactions!$K23,"")</f>
        <v/>
      </c>
      <c r="G23" s="34">
        <f>Transactions!L23</f>
        <v>0</v>
      </c>
      <c r="H23" s="12">
        <f t="shared" si="5"/>
        <v>0</v>
      </c>
      <c r="I23" s="12"/>
      <c r="J23" s="41" t="str">
        <f>IF(Transactions!$C23&gt;0,Transactions!$C23,"")</f>
        <v/>
      </c>
      <c r="K23" s="34">
        <f>Transactions!E23</f>
        <v>0</v>
      </c>
      <c r="L23" s="12">
        <f t="shared" si="6"/>
        <v>0</v>
      </c>
      <c r="M23" s="12"/>
      <c r="N23" s="41" t="str">
        <f>IF(Transactions!$K23&gt;0,Transactions!$K23,"")</f>
        <v/>
      </c>
      <c r="O23" s="34">
        <f>Transactions!M23</f>
        <v>0</v>
      </c>
      <c r="P23" s="12">
        <f t="shared" si="7"/>
        <v>0</v>
      </c>
      <c r="Q23" s="12"/>
      <c r="R23" s="41" t="str">
        <f>IF(Transactions!$C23&gt;0,Transactions!$C23,"")</f>
        <v/>
      </c>
      <c r="S23" s="34">
        <f>Transactions!F23</f>
        <v>0</v>
      </c>
      <c r="T23" s="12">
        <f t="shared" si="8"/>
        <v>0</v>
      </c>
      <c r="V23" s="41" t="str">
        <f>IF(Transactions!$K23&gt;0,Transactions!$K23,"")</f>
        <v/>
      </c>
      <c r="W23" s="34">
        <f>Transactions!N23</f>
        <v>0</v>
      </c>
      <c r="X23" s="12">
        <f t="shared" si="0"/>
        <v>0</v>
      </c>
      <c r="Y23" s="12"/>
      <c r="Z23" s="41" t="str">
        <f>IF(Transactions!$C23&gt;0,Transactions!$C23,"")</f>
        <v/>
      </c>
      <c r="AA23" s="34">
        <f>Transactions!G23</f>
        <v>0</v>
      </c>
      <c r="AB23" s="12">
        <f t="shared" si="1"/>
        <v>0</v>
      </c>
      <c r="AD23" s="41" t="str">
        <f>IF(Transactions!$K23&gt;0,Transactions!$K23,"")</f>
        <v/>
      </c>
      <c r="AE23" s="34">
        <f>Transactions!O23</f>
        <v>0</v>
      </c>
      <c r="AF23" s="12">
        <f t="shared" si="2"/>
        <v>0</v>
      </c>
      <c r="AH23" s="41" t="str">
        <f>IF(Transactions!$K23&gt;0,Transactions!$K23,"")</f>
        <v/>
      </c>
      <c r="AI23" s="34">
        <f>Transactions!P23</f>
        <v>0</v>
      </c>
      <c r="AJ23" s="12">
        <f t="shared" si="3"/>
        <v>0</v>
      </c>
    </row>
    <row r="24" spans="1:36" x14ac:dyDescent="0.35">
      <c r="A24" s="11"/>
      <c r="B24" s="41" t="str">
        <f>IF(Transactions!$C24&gt;0,Transactions!$C24,"")</f>
        <v/>
      </c>
      <c r="C24" s="34">
        <f>Transactions!D24</f>
        <v>0</v>
      </c>
      <c r="D24" s="12">
        <f t="shared" si="4"/>
        <v>0</v>
      </c>
      <c r="E24" s="12"/>
      <c r="F24" s="41" t="str">
        <f>IF(Transactions!$K24&gt;0,Transactions!$K24,"")</f>
        <v/>
      </c>
      <c r="G24" s="34">
        <f>Transactions!L24</f>
        <v>0</v>
      </c>
      <c r="H24" s="12">
        <f t="shared" si="5"/>
        <v>0</v>
      </c>
      <c r="I24" s="12"/>
      <c r="J24" s="41" t="str">
        <f>IF(Transactions!$C24&gt;0,Transactions!$C24,"")</f>
        <v/>
      </c>
      <c r="K24" s="34">
        <f>Transactions!E24</f>
        <v>0</v>
      </c>
      <c r="L24" s="12">
        <f t="shared" si="6"/>
        <v>0</v>
      </c>
      <c r="M24" s="12"/>
      <c r="N24" s="41" t="str">
        <f>IF(Transactions!$K24&gt;0,Transactions!$K24,"")</f>
        <v/>
      </c>
      <c r="O24" s="34">
        <f>Transactions!M24</f>
        <v>0</v>
      </c>
      <c r="P24" s="12">
        <f t="shared" si="7"/>
        <v>0</v>
      </c>
      <c r="Q24" s="12"/>
      <c r="R24" s="41" t="str">
        <f>IF(Transactions!$C24&gt;0,Transactions!$C24,"")</f>
        <v/>
      </c>
      <c r="S24" s="34">
        <f>Transactions!F24</f>
        <v>0</v>
      </c>
      <c r="T24" s="12">
        <f t="shared" si="8"/>
        <v>0</v>
      </c>
      <c r="V24" s="41" t="str">
        <f>IF(Transactions!$K24&gt;0,Transactions!$K24,"")</f>
        <v/>
      </c>
      <c r="W24" s="34">
        <f>Transactions!N24</f>
        <v>0</v>
      </c>
      <c r="X24" s="12">
        <f t="shared" si="0"/>
        <v>0</v>
      </c>
      <c r="Y24" s="12"/>
      <c r="Z24" s="41" t="str">
        <f>IF(Transactions!$C24&gt;0,Transactions!$C24,"")</f>
        <v/>
      </c>
      <c r="AA24" s="34">
        <f>Transactions!G24</f>
        <v>0</v>
      </c>
      <c r="AB24" s="12">
        <f t="shared" si="1"/>
        <v>0</v>
      </c>
      <c r="AD24" s="41" t="str">
        <f>IF(Transactions!$K24&gt;0,Transactions!$K24,"")</f>
        <v/>
      </c>
      <c r="AE24" s="34">
        <f>Transactions!O24</f>
        <v>0</v>
      </c>
      <c r="AF24" s="12">
        <f t="shared" si="2"/>
        <v>0</v>
      </c>
      <c r="AH24" s="41" t="str">
        <f>IF(Transactions!$K24&gt;0,Transactions!$K24,"")</f>
        <v/>
      </c>
      <c r="AI24" s="34">
        <f>Transactions!P24</f>
        <v>0</v>
      </c>
      <c r="AJ24" s="12">
        <f t="shared" si="3"/>
        <v>0</v>
      </c>
    </row>
    <row r="25" spans="1:36" x14ac:dyDescent="0.35">
      <c r="A25" s="11"/>
      <c r="B25" s="41" t="str">
        <f>IF(Transactions!$C25&gt;0,Transactions!$C25,"")</f>
        <v/>
      </c>
      <c r="C25" s="34">
        <f>Transactions!D25</f>
        <v>0</v>
      </c>
      <c r="D25" s="12">
        <f t="shared" si="4"/>
        <v>0</v>
      </c>
      <c r="E25" s="12"/>
      <c r="F25" s="41" t="str">
        <f>IF(Transactions!$K25&gt;0,Transactions!$K25,"")</f>
        <v/>
      </c>
      <c r="G25" s="34">
        <f>Transactions!L25</f>
        <v>0</v>
      </c>
      <c r="H25" s="12">
        <f t="shared" si="5"/>
        <v>0</v>
      </c>
      <c r="I25" s="12"/>
      <c r="J25" s="41" t="str">
        <f>IF(Transactions!$C25&gt;0,Transactions!$C25,"")</f>
        <v/>
      </c>
      <c r="K25" s="34">
        <f>Transactions!E25</f>
        <v>0</v>
      </c>
      <c r="L25" s="12">
        <f t="shared" si="6"/>
        <v>0</v>
      </c>
      <c r="M25" s="12"/>
      <c r="N25" s="41" t="str">
        <f>IF(Transactions!$K25&gt;0,Transactions!$K25,"")</f>
        <v/>
      </c>
      <c r="O25" s="34">
        <f>Transactions!M25</f>
        <v>0</v>
      </c>
      <c r="P25" s="12">
        <f t="shared" si="7"/>
        <v>0</v>
      </c>
      <c r="Q25" s="12"/>
      <c r="R25" s="41" t="str">
        <f>IF(Transactions!$C25&gt;0,Transactions!$C25,"")</f>
        <v/>
      </c>
      <c r="S25" s="34">
        <f>Transactions!F25</f>
        <v>0</v>
      </c>
      <c r="T25" s="12">
        <f t="shared" si="8"/>
        <v>0</v>
      </c>
      <c r="V25" s="41" t="str">
        <f>IF(Transactions!$K25&gt;0,Transactions!$K25,"")</f>
        <v/>
      </c>
      <c r="W25" s="34">
        <f>Transactions!N25</f>
        <v>0</v>
      </c>
      <c r="X25" s="12">
        <f t="shared" si="0"/>
        <v>0</v>
      </c>
      <c r="Y25" s="12"/>
      <c r="Z25" s="41" t="str">
        <f>IF(Transactions!$C25&gt;0,Transactions!$C25,"")</f>
        <v/>
      </c>
      <c r="AA25" s="34">
        <f>Transactions!G25</f>
        <v>0</v>
      </c>
      <c r="AB25" s="12">
        <f t="shared" si="1"/>
        <v>0</v>
      </c>
      <c r="AD25" s="41" t="str">
        <f>IF(Transactions!$K25&gt;0,Transactions!$K25,"")</f>
        <v/>
      </c>
      <c r="AE25" s="34">
        <f>Transactions!O25</f>
        <v>0</v>
      </c>
      <c r="AF25" s="12">
        <f t="shared" si="2"/>
        <v>0</v>
      </c>
      <c r="AH25" s="41" t="str">
        <f>IF(Transactions!$K25&gt;0,Transactions!$K25,"")</f>
        <v/>
      </c>
      <c r="AI25" s="34">
        <f>Transactions!P25</f>
        <v>0</v>
      </c>
      <c r="AJ25" s="12">
        <f t="shared" si="3"/>
        <v>0</v>
      </c>
    </row>
    <row r="26" spans="1:36" x14ac:dyDescent="0.35">
      <c r="A26" s="11"/>
      <c r="B26" s="41" t="str">
        <f>IF(Transactions!$C26&gt;0,Transactions!$C26,"")</f>
        <v/>
      </c>
      <c r="C26" s="34">
        <f>Transactions!D26</f>
        <v>0</v>
      </c>
      <c r="D26" s="12">
        <f t="shared" si="4"/>
        <v>0</v>
      </c>
      <c r="E26" s="12"/>
      <c r="F26" s="41" t="str">
        <f>IF(Transactions!$K26&gt;0,Transactions!$K26,"")</f>
        <v/>
      </c>
      <c r="G26" s="34">
        <f>Transactions!L26</f>
        <v>0</v>
      </c>
      <c r="H26" s="12">
        <f t="shared" si="5"/>
        <v>0</v>
      </c>
      <c r="I26" s="12"/>
      <c r="J26" s="41" t="str">
        <f>IF(Transactions!$C26&gt;0,Transactions!$C26,"")</f>
        <v/>
      </c>
      <c r="K26" s="34">
        <f>Transactions!E26</f>
        <v>0</v>
      </c>
      <c r="L26" s="12">
        <f t="shared" si="6"/>
        <v>0</v>
      </c>
      <c r="M26" s="12"/>
      <c r="N26" s="41" t="str">
        <f>IF(Transactions!$K26&gt;0,Transactions!$K26,"")</f>
        <v/>
      </c>
      <c r="O26" s="34">
        <f>Transactions!M26</f>
        <v>0</v>
      </c>
      <c r="P26" s="12">
        <f t="shared" si="7"/>
        <v>0</v>
      </c>
      <c r="Q26" s="12"/>
      <c r="R26" s="41" t="str">
        <f>IF(Transactions!$C26&gt;0,Transactions!$C26,"")</f>
        <v/>
      </c>
      <c r="S26" s="34">
        <f>Transactions!F26</f>
        <v>0</v>
      </c>
      <c r="T26" s="12">
        <f t="shared" si="8"/>
        <v>0</v>
      </c>
      <c r="V26" s="41" t="str">
        <f>IF(Transactions!$K26&gt;0,Transactions!$K26,"")</f>
        <v/>
      </c>
      <c r="W26" s="34">
        <f>Transactions!N26</f>
        <v>0</v>
      </c>
      <c r="X26" s="12">
        <f t="shared" si="0"/>
        <v>0</v>
      </c>
      <c r="Y26" s="12"/>
      <c r="Z26" s="41" t="str">
        <f>IF(Transactions!$C26&gt;0,Transactions!$C26,"")</f>
        <v/>
      </c>
      <c r="AA26" s="34">
        <f>Transactions!G26</f>
        <v>0</v>
      </c>
      <c r="AB26" s="12">
        <f t="shared" si="1"/>
        <v>0</v>
      </c>
      <c r="AD26" s="41" t="str">
        <f>IF(Transactions!$K26&gt;0,Transactions!$K26,"")</f>
        <v/>
      </c>
      <c r="AE26" s="34">
        <f>Transactions!O26</f>
        <v>0</v>
      </c>
      <c r="AF26" s="12">
        <f t="shared" si="2"/>
        <v>0</v>
      </c>
      <c r="AH26" s="41" t="str">
        <f>IF(Transactions!$K26&gt;0,Transactions!$K26,"")</f>
        <v/>
      </c>
      <c r="AI26" s="34">
        <f>Transactions!P26</f>
        <v>0</v>
      </c>
      <c r="AJ26" s="12">
        <f t="shared" si="3"/>
        <v>0</v>
      </c>
    </row>
    <row r="27" spans="1:36" x14ac:dyDescent="0.35">
      <c r="A27" s="11"/>
      <c r="B27" s="41" t="str">
        <f>IF(Transactions!$C27&gt;0,Transactions!$C27,"")</f>
        <v/>
      </c>
      <c r="C27" s="34">
        <f>Transactions!D27</f>
        <v>0</v>
      </c>
      <c r="D27" s="12">
        <f t="shared" si="4"/>
        <v>0</v>
      </c>
      <c r="E27" s="12"/>
      <c r="F27" s="41" t="str">
        <f>IF(Transactions!$K27&gt;0,Transactions!$K27,"")</f>
        <v/>
      </c>
      <c r="G27" s="34">
        <f>Transactions!L27</f>
        <v>0</v>
      </c>
      <c r="H27" s="12">
        <f t="shared" si="5"/>
        <v>0</v>
      </c>
      <c r="I27" s="12"/>
      <c r="J27" s="41" t="str">
        <f>IF(Transactions!$C27&gt;0,Transactions!$C27,"")</f>
        <v/>
      </c>
      <c r="K27" s="34">
        <f>Transactions!E27</f>
        <v>0</v>
      </c>
      <c r="L27" s="12">
        <f t="shared" si="6"/>
        <v>0</v>
      </c>
      <c r="M27" s="12"/>
      <c r="N27" s="41" t="str">
        <f>IF(Transactions!$K27&gt;0,Transactions!$K27,"")</f>
        <v/>
      </c>
      <c r="O27" s="34">
        <f>Transactions!M27</f>
        <v>0</v>
      </c>
      <c r="P27" s="12">
        <f t="shared" si="7"/>
        <v>0</v>
      </c>
      <c r="Q27" s="12"/>
      <c r="R27" s="41" t="str">
        <f>IF(Transactions!$C27&gt;0,Transactions!$C27,"")</f>
        <v/>
      </c>
      <c r="S27" s="34">
        <f>Transactions!F27</f>
        <v>0</v>
      </c>
      <c r="T27" s="12">
        <f t="shared" si="8"/>
        <v>0</v>
      </c>
      <c r="V27" s="41" t="str">
        <f>IF(Transactions!$K27&gt;0,Transactions!$K27,"")</f>
        <v/>
      </c>
      <c r="W27" s="34">
        <f>Transactions!N27</f>
        <v>0</v>
      </c>
      <c r="X27" s="12">
        <f t="shared" si="0"/>
        <v>0</v>
      </c>
      <c r="Y27" s="12"/>
      <c r="Z27" s="41" t="str">
        <f>IF(Transactions!$C27&gt;0,Transactions!$C27,"")</f>
        <v/>
      </c>
      <c r="AA27" s="34">
        <f>Transactions!G27</f>
        <v>0</v>
      </c>
      <c r="AB27" s="12">
        <f t="shared" si="1"/>
        <v>0</v>
      </c>
      <c r="AD27" s="41" t="str">
        <f>IF(Transactions!$K27&gt;0,Transactions!$K27,"")</f>
        <v/>
      </c>
      <c r="AE27" s="34">
        <f>Transactions!O27</f>
        <v>0</v>
      </c>
      <c r="AF27" s="12">
        <f t="shared" si="2"/>
        <v>0</v>
      </c>
      <c r="AH27" s="41" t="str">
        <f>IF(Transactions!$K27&gt;0,Transactions!$K27,"")</f>
        <v/>
      </c>
      <c r="AI27" s="34">
        <f>Transactions!P27</f>
        <v>0</v>
      </c>
      <c r="AJ27" s="12">
        <f t="shared" si="3"/>
        <v>0</v>
      </c>
    </row>
    <row r="28" spans="1:36" x14ac:dyDescent="0.35">
      <c r="A28" s="11"/>
      <c r="B28" s="41" t="str">
        <f>IF(Transactions!$C28&gt;0,Transactions!$C28,"")</f>
        <v/>
      </c>
      <c r="C28" s="34">
        <f>Transactions!D28</f>
        <v>0</v>
      </c>
      <c r="D28" s="12">
        <f t="shared" si="4"/>
        <v>0</v>
      </c>
      <c r="E28" s="12"/>
      <c r="F28" s="41" t="str">
        <f>IF(Transactions!$K28&gt;0,Transactions!$K28,"")</f>
        <v/>
      </c>
      <c r="G28" s="34">
        <f>Transactions!L28</f>
        <v>0</v>
      </c>
      <c r="H28" s="12">
        <f t="shared" si="5"/>
        <v>0</v>
      </c>
      <c r="I28" s="12"/>
      <c r="J28" s="41" t="str">
        <f>IF(Transactions!$C28&gt;0,Transactions!$C28,"")</f>
        <v/>
      </c>
      <c r="K28" s="34">
        <f>Transactions!E28</f>
        <v>0</v>
      </c>
      <c r="L28" s="12">
        <f t="shared" si="6"/>
        <v>0</v>
      </c>
      <c r="M28" s="12"/>
      <c r="N28" s="41" t="str">
        <f>IF(Transactions!$K28&gt;0,Transactions!$K28,"")</f>
        <v/>
      </c>
      <c r="O28" s="34">
        <f>Transactions!M28</f>
        <v>0</v>
      </c>
      <c r="P28" s="12">
        <f t="shared" si="7"/>
        <v>0</v>
      </c>
      <c r="Q28" s="12"/>
      <c r="R28" s="41" t="str">
        <f>IF(Transactions!$C28&gt;0,Transactions!$C28,"")</f>
        <v/>
      </c>
      <c r="S28" s="34">
        <f>Transactions!F28</f>
        <v>0</v>
      </c>
      <c r="T28" s="12">
        <f t="shared" si="8"/>
        <v>0</v>
      </c>
      <c r="V28" s="41" t="str">
        <f>IF(Transactions!$K28&gt;0,Transactions!$K28,"")</f>
        <v/>
      </c>
      <c r="W28" s="34">
        <f>Transactions!N28</f>
        <v>0</v>
      </c>
      <c r="X28" s="12">
        <f t="shared" si="0"/>
        <v>0</v>
      </c>
      <c r="Y28" s="12"/>
      <c r="Z28" s="41" t="str">
        <f>IF(Transactions!$C28&gt;0,Transactions!$C28,"")</f>
        <v/>
      </c>
      <c r="AA28" s="34">
        <f>Transactions!G28</f>
        <v>0</v>
      </c>
      <c r="AB28" s="12">
        <f t="shared" si="1"/>
        <v>0</v>
      </c>
      <c r="AD28" s="41" t="str">
        <f>IF(Transactions!$K28&gt;0,Transactions!$K28,"")</f>
        <v/>
      </c>
      <c r="AE28" s="34">
        <f>Transactions!O28</f>
        <v>0</v>
      </c>
      <c r="AF28" s="12">
        <f t="shared" si="2"/>
        <v>0</v>
      </c>
      <c r="AH28" s="41" t="str">
        <f>IF(Transactions!$K28&gt;0,Transactions!$K28,"")</f>
        <v/>
      </c>
      <c r="AI28" s="34">
        <f>Transactions!P28</f>
        <v>0</v>
      </c>
      <c r="AJ28" s="12">
        <f t="shared" si="3"/>
        <v>0</v>
      </c>
    </row>
    <row r="29" spans="1:36" x14ac:dyDescent="0.35">
      <c r="A29" s="11"/>
      <c r="B29" s="41" t="str">
        <f>IF(Transactions!$C29&gt;0,Transactions!$C29,"")</f>
        <v/>
      </c>
      <c r="C29" s="34">
        <f>Transactions!D29</f>
        <v>0</v>
      </c>
      <c r="D29" s="12">
        <f t="shared" si="4"/>
        <v>0</v>
      </c>
      <c r="E29" s="12"/>
      <c r="F29" s="41" t="str">
        <f>IF(Transactions!$K29&gt;0,Transactions!$K29,"")</f>
        <v/>
      </c>
      <c r="G29" s="34">
        <f>Transactions!L29</f>
        <v>0</v>
      </c>
      <c r="H29" s="12">
        <f t="shared" si="5"/>
        <v>0</v>
      </c>
      <c r="I29" s="12"/>
      <c r="J29" s="41" t="str">
        <f>IF(Transactions!$C29&gt;0,Transactions!$C29,"")</f>
        <v/>
      </c>
      <c r="K29" s="34">
        <f>Transactions!E29</f>
        <v>0</v>
      </c>
      <c r="L29" s="12">
        <f t="shared" si="6"/>
        <v>0</v>
      </c>
      <c r="M29" s="12"/>
      <c r="N29" s="41" t="str">
        <f>IF(Transactions!$K29&gt;0,Transactions!$K29,"")</f>
        <v/>
      </c>
      <c r="O29" s="34">
        <f>Transactions!M29</f>
        <v>0</v>
      </c>
      <c r="P29" s="12">
        <f t="shared" si="7"/>
        <v>0</v>
      </c>
      <c r="Q29" s="12"/>
      <c r="R29" s="41" t="str">
        <f>IF(Transactions!$C29&gt;0,Transactions!$C29,"")</f>
        <v/>
      </c>
      <c r="S29" s="34">
        <f>Transactions!F29</f>
        <v>0</v>
      </c>
      <c r="T29" s="12">
        <f t="shared" si="8"/>
        <v>0</v>
      </c>
      <c r="V29" s="41" t="str">
        <f>IF(Transactions!$K29&gt;0,Transactions!$K29,"")</f>
        <v/>
      </c>
      <c r="W29" s="34">
        <f>Transactions!N29</f>
        <v>0</v>
      </c>
      <c r="X29" s="12">
        <f t="shared" si="0"/>
        <v>0</v>
      </c>
      <c r="Y29" s="12"/>
      <c r="Z29" s="41" t="str">
        <f>IF(Transactions!$C29&gt;0,Transactions!$C29,"")</f>
        <v/>
      </c>
      <c r="AA29" s="34">
        <f>Transactions!G29</f>
        <v>0</v>
      </c>
      <c r="AB29" s="12">
        <f t="shared" si="1"/>
        <v>0</v>
      </c>
      <c r="AD29" s="41" t="str">
        <f>IF(Transactions!$K29&gt;0,Transactions!$K29,"")</f>
        <v/>
      </c>
      <c r="AE29" s="34">
        <f>Transactions!O29</f>
        <v>0</v>
      </c>
      <c r="AF29" s="12">
        <f t="shared" si="2"/>
        <v>0</v>
      </c>
      <c r="AH29" s="41" t="str">
        <f>IF(Transactions!$K29&gt;0,Transactions!$K29,"")</f>
        <v/>
      </c>
      <c r="AI29" s="34">
        <f>Transactions!P29</f>
        <v>0</v>
      </c>
      <c r="AJ29" s="12">
        <f t="shared" si="3"/>
        <v>0</v>
      </c>
    </row>
    <row r="30" spans="1:36" x14ac:dyDescent="0.35">
      <c r="A30" s="11"/>
      <c r="B30" s="41" t="str">
        <f>IF(Transactions!$C30&gt;0,Transactions!$C30,"")</f>
        <v/>
      </c>
      <c r="C30" s="34">
        <f>Transactions!D30</f>
        <v>0</v>
      </c>
      <c r="D30" s="12">
        <f t="shared" si="4"/>
        <v>0</v>
      </c>
      <c r="E30" s="12"/>
      <c r="F30" s="41" t="str">
        <f>IF(Transactions!$K30&gt;0,Transactions!$K30,"")</f>
        <v/>
      </c>
      <c r="G30" s="34">
        <f>Transactions!L30</f>
        <v>0</v>
      </c>
      <c r="H30" s="12">
        <f t="shared" si="5"/>
        <v>0</v>
      </c>
      <c r="I30" s="12"/>
      <c r="J30" s="41" t="str">
        <f>IF(Transactions!$C30&gt;0,Transactions!$C30,"")</f>
        <v/>
      </c>
      <c r="K30" s="34">
        <f>Transactions!E30</f>
        <v>0</v>
      </c>
      <c r="L30" s="12">
        <f t="shared" si="6"/>
        <v>0</v>
      </c>
      <c r="M30" s="12"/>
      <c r="N30" s="41" t="str">
        <f>IF(Transactions!$K30&gt;0,Transactions!$K30,"")</f>
        <v/>
      </c>
      <c r="O30" s="34">
        <f>Transactions!M30</f>
        <v>0</v>
      </c>
      <c r="P30" s="12">
        <f t="shared" si="7"/>
        <v>0</v>
      </c>
      <c r="Q30" s="12"/>
      <c r="R30" s="41" t="str">
        <f>IF(Transactions!$C30&gt;0,Transactions!$C30,"")</f>
        <v/>
      </c>
      <c r="S30" s="34">
        <f>Transactions!F30</f>
        <v>0</v>
      </c>
      <c r="T30" s="12">
        <f t="shared" si="8"/>
        <v>0</v>
      </c>
      <c r="V30" s="41" t="str">
        <f>IF(Transactions!$K30&gt;0,Transactions!$K30,"")</f>
        <v/>
      </c>
      <c r="W30" s="34">
        <f>Transactions!N30</f>
        <v>0</v>
      </c>
      <c r="X30" s="12">
        <f t="shared" si="0"/>
        <v>0</v>
      </c>
      <c r="Y30" s="12"/>
      <c r="Z30" s="41" t="str">
        <f>IF(Transactions!$C30&gt;0,Transactions!$C30,"")</f>
        <v/>
      </c>
      <c r="AA30" s="34">
        <f>Transactions!G30</f>
        <v>0</v>
      </c>
      <c r="AB30" s="12">
        <f t="shared" si="1"/>
        <v>0</v>
      </c>
      <c r="AD30" s="41" t="str">
        <f>IF(Transactions!$K30&gt;0,Transactions!$K30,"")</f>
        <v/>
      </c>
      <c r="AE30" s="34">
        <f>Transactions!O30</f>
        <v>0</v>
      </c>
      <c r="AF30" s="12">
        <f t="shared" si="2"/>
        <v>0</v>
      </c>
      <c r="AH30" s="41" t="str">
        <f>IF(Transactions!$K30&gt;0,Transactions!$K30,"")</f>
        <v/>
      </c>
      <c r="AI30" s="34">
        <f>Transactions!P30</f>
        <v>0</v>
      </c>
      <c r="AJ30" s="12">
        <f t="shared" si="3"/>
        <v>0</v>
      </c>
    </row>
    <row r="31" spans="1:36" x14ac:dyDescent="0.35">
      <c r="A31" s="11"/>
      <c r="B31" s="41" t="str">
        <f>IF(Transactions!$C31&gt;0,Transactions!$C31,"")</f>
        <v/>
      </c>
      <c r="C31" s="34">
        <f>Transactions!D31</f>
        <v>0</v>
      </c>
      <c r="D31" s="12">
        <f t="shared" si="4"/>
        <v>0</v>
      </c>
      <c r="E31" s="12"/>
      <c r="F31" s="41" t="str">
        <f>IF(Transactions!$K31&gt;0,Transactions!$K31,"")</f>
        <v/>
      </c>
      <c r="G31" s="34">
        <f>Transactions!L31</f>
        <v>0</v>
      </c>
      <c r="H31" s="12">
        <f t="shared" si="5"/>
        <v>0</v>
      </c>
      <c r="I31" s="12"/>
      <c r="J31" s="41" t="str">
        <f>IF(Transactions!$C31&gt;0,Transactions!$C31,"")</f>
        <v/>
      </c>
      <c r="K31" s="34">
        <f>Transactions!E31</f>
        <v>0</v>
      </c>
      <c r="L31" s="12">
        <f t="shared" si="6"/>
        <v>0</v>
      </c>
      <c r="M31" s="12"/>
      <c r="N31" s="41" t="str">
        <f>IF(Transactions!$K31&gt;0,Transactions!$K31,"")</f>
        <v/>
      </c>
      <c r="O31" s="34">
        <f>Transactions!M31</f>
        <v>0</v>
      </c>
      <c r="P31" s="12">
        <f t="shared" si="7"/>
        <v>0</v>
      </c>
      <c r="Q31" s="12"/>
      <c r="R31" s="41" t="str">
        <f>IF(Transactions!$C31&gt;0,Transactions!$C31,"")</f>
        <v/>
      </c>
      <c r="S31" s="34">
        <f>Transactions!F31</f>
        <v>0</v>
      </c>
      <c r="T31" s="12">
        <f t="shared" si="8"/>
        <v>0</v>
      </c>
      <c r="V31" s="41" t="str">
        <f>IF(Transactions!$K31&gt;0,Transactions!$K31,"")</f>
        <v/>
      </c>
      <c r="W31" s="34">
        <f>Transactions!N31</f>
        <v>0</v>
      </c>
      <c r="X31" s="12">
        <f t="shared" si="0"/>
        <v>0</v>
      </c>
      <c r="Y31" s="12"/>
      <c r="Z31" s="41" t="str">
        <f>IF(Transactions!$C31&gt;0,Transactions!$C31,"")</f>
        <v/>
      </c>
      <c r="AA31" s="34">
        <f>Transactions!G31</f>
        <v>0</v>
      </c>
      <c r="AB31" s="12">
        <f t="shared" si="1"/>
        <v>0</v>
      </c>
      <c r="AD31" s="41" t="str">
        <f>IF(Transactions!$K31&gt;0,Transactions!$K31,"")</f>
        <v/>
      </c>
      <c r="AE31" s="34">
        <f>Transactions!O31</f>
        <v>0</v>
      </c>
      <c r="AF31" s="12">
        <f t="shared" si="2"/>
        <v>0</v>
      </c>
      <c r="AH31" s="41" t="str">
        <f>IF(Transactions!$K31&gt;0,Transactions!$K31,"")</f>
        <v/>
      </c>
      <c r="AI31" s="34">
        <f>Transactions!P31</f>
        <v>0</v>
      </c>
      <c r="AJ31" s="12">
        <f t="shared" si="3"/>
        <v>0</v>
      </c>
    </row>
    <row r="32" spans="1:36" x14ac:dyDescent="0.35">
      <c r="A32" s="11"/>
      <c r="B32" s="41" t="str">
        <f>IF(Transactions!$C32&gt;0,Transactions!$C32,"")</f>
        <v/>
      </c>
      <c r="C32" s="34">
        <f>Transactions!D32</f>
        <v>0</v>
      </c>
      <c r="D32" s="12">
        <f t="shared" si="4"/>
        <v>0</v>
      </c>
      <c r="E32" s="12"/>
      <c r="F32" s="41" t="str">
        <f>IF(Transactions!$K32&gt;0,Transactions!$K32,"")</f>
        <v/>
      </c>
      <c r="G32" s="34">
        <f>Transactions!L32</f>
        <v>0</v>
      </c>
      <c r="H32" s="12">
        <f t="shared" si="5"/>
        <v>0</v>
      </c>
      <c r="I32" s="12"/>
      <c r="J32" s="41" t="str">
        <f>IF(Transactions!$C32&gt;0,Transactions!$C32,"")</f>
        <v/>
      </c>
      <c r="K32" s="34">
        <f>Transactions!E32</f>
        <v>0</v>
      </c>
      <c r="L32" s="12">
        <f t="shared" si="6"/>
        <v>0</v>
      </c>
      <c r="M32" s="12"/>
      <c r="N32" s="41" t="str">
        <f>IF(Transactions!$K32&gt;0,Transactions!$K32,"")</f>
        <v/>
      </c>
      <c r="O32" s="34">
        <f>Transactions!M32</f>
        <v>0</v>
      </c>
      <c r="P32" s="12">
        <f t="shared" si="7"/>
        <v>0</v>
      </c>
      <c r="Q32" s="12"/>
      <c r="R32" s="41" t="str">
        <f>IF(Transactions!$C32&gt;0,Transactions!$C32,"")</f>
        <v/>
      </c>
      <c r="S32" s="34">
        <f>Transactions!F32</f>
        <v>0</v>
      </c>
      <c r="T32" s="12">
        <f t="shared" si="8"/>
        <v>0</v>
      </c>
      <c r="V32" s="41" t="str">
        <f>IF(Transactions!$K32&gt;0,Transactions!$K32,"")</f>
        <v/>
      </c>
      <c r="W32" s="34">
        <f>Transactions!N32</f>
        <v>0</v>
      </c>
      <c r="X32" s="12">
        <f t="shared" si="0"/>
        <v>0</v>
      </c>
      <c r="Y32" s="12"/>
      <c r="Z32" s="41" t="str">
        <f>IF(Transactions!$C32&gt;0,Transactions!$C32,"")</f>
        <v/>
      </c>
      <c r="AA32" s="34">
        <f>Transactions!G32</f>
        <v>0</v>
      </c>
      <c r="AB32" s="12">
        <f t="shared" si="1"/>
        <v>0</v>
      </c>
      <c r="AD32" s="41" t="str">
        <f>IF(Transactions!$K32&gt;0,Transactions!$K32,"")</f>
        <v/>
      </c>
      <c r="AE32" s="34">
        <f>Transactions!O32</f>
        <v>0</v>
      </c>
      <c r="AF32" s="12">
        <f t="shared" si="2"/>
        <v>0</v>
      </c>
      <c r="AH32" s="41" t="str">
        <f>IF(Transactions!$K32&gt;0,Transactions!$K32,"")</f>
        <v/>
      </c>
      <c r="AI32" s="34">
        <f>Transactions!P32</f>
        <v>0</v>
      </c>
      <c r="AJ32" s="12">
        <f t="shared" si="3"/>
        <v>0</v>
      </c>
    </row>
    <row r="33" spans="1:36" x14ac:dyDescent="0.35">
      <c r="A33" s="11"/>
      <c r="B33" s="41" t="str">
        <f>IF(Transactions!$C33&gt;0,Transactions!$C33,"")</f>
        <v/>
      </c>
      <c r="C33" s="34">
        <f>Transactions!D33</f>
        <v>0</v>
      </c>
      <c r="D33" s="12">
        <f t="shared" si="4"/>
        <v>0</v>
      </c>
      <c r="E33" s="12"/>
      <c r="F33" s="41" t="str">
        <f>IF(Transactions!$K33&gt;0,Transactions!$K33,"")</f>
        <v/>
      </c>
      <c r="G33" s="34">
        <f>Transactions!L33</f>
        <v>0</v>
      </c>
      <c r="H33" s="12">
        <f t="shared" si="5"/>
        <v>0</v>
      </c>
      <c r="I33" s="12"/>
      <c r="J33" s="41" t="str">
        <f>IF(Transactions!$C33&gt;0,Transactions!$C33,"")</f>
        <v/>
      </c>
      <c r="K33" s="34">
        <f>Transactions!E33</f>
        <v>0</v>
      </c>
      <c r="L33" s="12">
        <f t="shared" si="6"/>
        <v>0</v>
      </c>
      <c r="M33" s="12"/>
      <c r="N33" s="41" t="str">
        <f>IF(Transactions!$K33&gt;0,Transactions!$K33,"")</f>
        <v/>
      </c>
      <c r="O33" s="34">
        <f>Transactions!M33</f>
        <v>0</v>
      </c>
      <c r="P33" s="12">
        <f t="shared" si="7"/>
        <v>0</v>
      </c>
      <c r="Q33" s="12"/>
      <c r="R33" s="41" t="str">
        <f>IF(Transactions!$C33&gt;0,Transactions!$C33,"")</f>
        <v/>
      </c>
      <c r="S33" s="34">
        <f>Transactions!F33</f>
        <v>0</v>
      </c>
      <c r="T33" s="12">
        <f t="shared" si="8"/>
        <v>0</v>
      </c>
      <c r="V33" s="41" t="str">
        <f>IF(Transactions!$K33&gt;0,Transactions!$K33,"")</f>
        <v/>
      </c>
      <c r="W33" s="34">
        <f>Transactions!N33</f>
        <v>0</v>
      </c>
      <c r="X33" s="12">
        <f t="shared" si="0"/>
        <v>0</v>
      </c>
      <c r="Y33" s="12"/>
      <c r="Z33" s="41" t="str">
        <f>IF(Transactions!$C33&gt;0,Transactions!$C33,"")</f>
        <v/>
      </c>
      <c r="AA33" s="34">
        <f>Transactions!G33</f>
        <v>0</v>
      </c>
      <c r="AB33" s="12">
        <f t="shared" si="1"/>
        <v>0</v>
      </c>
      <c r="AD33" s="41" t="str">
        <f>IF(Transactions!$K33&gt;0,Transactions!$K33,"")</f>
        <v/>
      </c>
      <c r="AE33" s="34">
        <f>Transactions!O33</f>
        <v>0</v>
      </c>
      <c r="AF33" s="12">
        <f t="shared" si="2"/>
        <v>0</v>
      </c>
      <c r="AH33" s="41" t="str">
        <f>IF(Transactions!$K33&gt;0,Transactions!$K33,"")</f>
        <v/>
      </c>
      <c r="AI33" s="34">
        <f>Transactions!P33</f>
        <v>0</v>
      </c>
      <c r="AJ33" s="12">
        <f t="shared" si="3"/>
        <v>0</v>
      </c>
    </row>
    <row r="34" spans="1:36" x14ac:dyDescent="0.35">
      <c r="A34" s="11"/>
      <c r="B34" s="41" t="str">
        <f>IF(Transactions!$C34&gt;0,Transactions!$C34,"")</f>
        <v/>
      </c>
      <c r="C34" s="34">
        <f>Transactions!D34</f>
        <v>0</v>
      </c>
      <c r="D34" s="12">
        <f t="shared" si="4"/>
        <v>0</v>
      </c>
      <c r="E34" s="12"/>
      <c r="F34" s="41" t="str">
        <f>IF(Transactions!$K34&gt;0,Transactions!$K34,"")</f>
        <v/>
      </c>
      <c r="G34" s="34">
        <f>Transactions!L34</f>
        <v>0</v>
      </c>
      <c r="H34" s="12">
        <f t="shared" si="5"/>
        <v>0</v>
      </c>
      <c r="I34" s="12"/>
      <c r="J34" s="41" t="str">
        <f>IF(Transactions!$C34&gt;0,Transactions!$C34,"")</f>
        <v/>
      </c>
      <c r="K34" s="34">
        <f>Transactions!E34</f>
        <v>0</v>
      </c>
      <c r="L34" s="12">
        <f t="shared" si="6"/>
        <v>0</v>
      </c>
      <c r="M34" s="12"/>
      <c r="N34" s="41" t="str">
        <f>IF(Transactions!$K34&gt;0,Transactions!$K34,"")</f>
        <v/>
      </c>
      <c r="O34" s="34">
        <f>Transactions!M34</f>
        <v>0</v>
      </c>
      <c r="P34" s="12">
        <f t="shared" si="7"/>
        <v>0</v>
      </c>
      <c r="Q34" s="12"/>
      <c r="R34" s="41" t="str">
        <f>IF(Transactions!$C34&gt;0,Transactions!$C34,"")</f>
        <v/>
      </c>
      <c r="S34" s="34">
        <f>Transactions!F34</f>
        <v>0</v>
      </c>
      <c r="T34" s="12">
        <f t="shared" si="8"/>
        <v>0</v>
      </c>
      <c r="V34" s="41" t="str">
        <f>IF(Transactions!$K34&gt;0,Transactions!$K34,"")</f>
        <v/>
      </c>
      <c r="W34" s="34">
        <f>Transactions!N34</f>
        <v>0</v>
      </c>
      <c r="X34" s="12">
        <f t="shared" si="0"/>
        <v>0</v>
      </c>
      <c r="Y34" s="12"/>
      <c r="Z34" s="41" t="str">
        <f>IF(Transactions!$C34&gt;0,Transactions!$C34,"")</f>
        <v/>
      </c>
      <c r="AA34" s="34">
        <f>Transactions!G34</f>
        <v>0</v>
      </c>
      <c r="AB34" s="12">
        <f t="shared" si="1"/>
        <v>0</v>
      </c>
      <c r="AD34" s="41" t="str">
        <f>IF(Transactions!$K34&gt;0,Transactions!$K34,"")</f>
        <v/>
      </c>
      <c r="AE34" s="34">
        <f>Transactions!O34</f>
        <v>0</v>
      </c>
      <c r="AF34" s="12">
        <f t="shared" si="2"/>
        <v>0</v>
      </c>
      <c r="AH34" s="41" t="str">
        <f>IF(Transactions!$K34&gt;0,Transactions!$K34,"")</f>
        <v/>
      </c>
      <c r="AI34" s="34">
        <f>Transactions!P34</f>
        <v>0</v>
      </c>
      <c r="AJ34" s="12">
        <f t="shared" si="3"/>
        <v>0</v>
      </c>
    </row>
    <row r="35" spans="1:36" x14ac:dyDescent="0.35">
      <c r="A35" s="11"/>
      <c r="B35" s="41" t="str">
        <f>IF(Transactions!$C35&gt;0,Transactions!$C35,"")</f>
        <v/>
      </c>
      <c r="C35" s="34">
        <f>Transactions!D35</f>
        <v>0</v>
      </c>
      <c r="D35" s="12">
        <f t="shared" si="4"/>
        <v>0</v>
      </c>
      <c r="E35" s="12"/>
      <c r="F35" s="41" t="str">
        <f>IF(Transactions!$K35&gt;0,Transactions!$K35,"")</f>
        <v/>
      </c>
      <c r="G35" s="34">
        <f>Transactions!L35</f>
        <v>0</v>
      </c>
      <c r="H35" s="12">
        <f t="shared" si="5"/>
        <v>0</v>
      </c>
      <c r="I35" s="12"/>
      <c r="J35" s="41" t="str">
        <f>IF(Transactions!$C35&gt;0,Transactions!$C35,"")</f>
        <v/>
      </c>
      <c r="K35" s="34">
        <f>Transactions!E35</f>
        <v>0</v>
      </c>
      <c r="L35" s="12">
        <f t="shared" si="6"/>
        <v>0</v>
      </c>
      <c r="M35" s="12"/>
      <c r="N35" s="41" t="str">
        <f>IF(Transactions!$K35&gt;0,Transactions!$K35,"")</f>
        <v/>
      </c>
      <c r="O35" s="34">
        <f>Transactions!M35</f>
        <v>0</v>
      </c>
      <c r="P35" s="12">
        <f t="shared" si="7"/>
        <v>0</v>
      </c>
      <c r="Q35" s="12"/>
      <c r="R35" s="41" t="str">
        <f>IF(Transactions!$C35&gt;0,Transactions!$C35,"")</f>
        <v/>
      </c>
      <c r="S35" s="34">
        <f>Transactions!F35</f>
        <v>0</v>
      </c>
      <c r="T35" s="12">
        <f t="shared" si="8"/>
        <v>0</v>
      </c>
      <c r="V35" s="41" t="str">
        <f>IF(Transactions!$K35&gt;0,Transactions!$K35,"")</f>
        <v/>
      </c>
      <c r="W35" s="34">
        <f>Transactions!N35</f>
        <v>0</v>
      </c>
      <c r="X35" s="12">
        <f t="shared" si="0"/>
        <v>0</v>
      </c>
      <c r="Y35" s="12"/>
      <c r="Z35" s="41" t="str">
        <f>IF(Transactions!$C35&gt;0,Transactions!$C35,"")</f>
        <v/>
      </c>
      <c r="AA35" s="34">
        <f>Transactions!G35</f>
        <v>0</v>
      </c>
      <c r="AB35" s="12">
        <f t="shared" si="1"/>
        <v>0</v>
      </c>
      <c r="AD35" s="41" t="str">
        <f>IF(Transactions!$K35&gt;0,Transactions!$K35,"")</f>
        <v/>
      </c>
      <c r="AE35" s="34">
        <f>Transactions!O35</f>
        <v>0</v>
      </c>
      <c r="AF35" s="12">
        <f t="shared" si="2"/>
        <v>0</v>
      </c>
      <c r="AH35" s="41" t="str">
        <f>IF(Transactions!$K35&gt;0,Transactions!$K35,"")</f>
        <v/>
      </c>
      <c r="AI35" s="34">
        <f>Transactions!P35</f>
        <v>0</v>
      </c>
      <c r="AJ35" s="12">
        <f t="shared" si="3"/>
        <v>0</v>
      </c>
    </row>
    <row r="36" spans="1:36" x14ac:dyDescent="0.35">
      <c r="A36" s="11"/>
      <c r="B36" s="41" t="str">
        <f>IF(Transactions!$C36&gt;0,Transactions!$C36,"")</f>
        <v/>
      </c>
      <c r="C36" s="34">
        <f>Transactions!D36</f>
        <v>0</v>
      </c>
      <c r="D36" s="12">
        <f t="shared" si="4"/>
        <v>0</v>
      </c>
      <c r="E36" s="12"/>
      <c r="F36" s="41" t="str">
        <f>IF(Transactions!$K36&gt;0,Transactions!$K36,"")</f>
        <v/>
      </c>
      <c r="G36" s="34">
        <f>Transactions!L36</f>
        <v>0</v>
      </c>
      <c r="H36" s="12">
        <f t="shared" si="5"/>
        <v>0</v>
      </c>
      <c r="I36" s="12"/>
      <c r="J36" s="41" t="str">
        <f>IF(Transactions!$C36&gt;0,Transactions!$C36,"")</f>
        <v/>
      </c>
      <c r="K36" s="34">
        <f>Transactions!E36</f>
        <v>0</v>
      </c>
      <c r="L36" s="12">
        <f t="shared" si="6"/>
        <v>0</v>
      </c>
      <c r="M36" s="12"/>
      <c r="N36" s="41" t="str">
        <f>IF(Transactions!$K36&gt;0,Transactions!$K36,"")</f>
        <v/>
      </c>
      <c r="O36" s="34">
        <f>Transactions!M36</f>
        <v>0</v>
      </c>
      <c r="P36" s="12">
        <f t="shared" si="7"/>
        <v>0</v>
      </c>
      <c r="Q36" s="12"/>
      <c r="R36" s="41" t="str">
        <f>IF(Transactions!$C36&gt;0,Transactions!$C36,"")</f>
        <v/>
      </c>
      <c r="S36" s="34">
        <f>Transactions!F36</f>
        <v>0</v>
      </c>
      <c r="T36" s="12">
        <f t="shared" si="8"/>
        <v>0</v>
      </c>
      <c r="V36" s="41" t="str">
        <f>IF(Transactions!$K36&gt;0,Transactions!$K36,"")</f>
        <v/>
      </c>
      <c r="W36" s="34">
        <f>Transactions!N36</f>
        <v>0</v>
      </c>
      <c r="X36" s="12">
        <f t="shared" si="0"/>
        <v>0</v>
      </c>
      <c r="Y36" s="12"/>
      <c r="Z36" s="41" t="str">
        <f>IF(Transactions!$C36&gt;0,Transactions!$C36,"")</f>
        <v/>
      </c>
      <c r="AA36" s="34">
        <f>Transactions!G36</f>
        <v>0</v>
      </c>
      <c r="AB36" s="12">
        <f t="shared" si="1"/>
        <v>0</v>
      </c>
      <c r="AD36" s="41" t="str">
        <f>IF(Transactions!$K36&gt;0,Transactions!$K36,"")</f>
        <v/>
      </c>
      <c r="AE36" s="34">
        <f>Transactions!O36</f>
        <v>0</v>
      </c>
      <c r="AF36" s="12">
        <f t="shared" si="2"/>
        <v>0</v>
      </c>
      <c r="AH36" s="41" t="str">
        <f>IF(Transactions!$K36&gt;0,Transactions!$K36,"")</f>
        <v/>
      </c>
      <c r="AI36" s="34">
        <f>Transactions!P36</f>
        <v>0</v>
      </c>
      <c r="AJ36" s="12">
        <f t="shared" si="3"/>
        <v>0</v>
      </c>
    </row>
    <row r="37" spans="1:36" x14ac:dyDescent="0.35">
      <c r="A37" s="11"/>
      <c r="B37" s="41" t="str">
        <f>IF(Transactions!$C37&gt;0,Transactions!$C37,"")</f>
        <v/>
      </c>
      <c r="C37" s="34">
        <f>Transactions!D37</f>
        <v>0</v>
      </c>
      <c r="D37" s="12">
        <f t="shared" si="4"/>
        <v>0</v>
      </c>
      <c r="E37" s="12"/>
      <c r="F37" s="41" t="str">
        <f>IF(Transactions!$K37&gt;0,Transactions!$K37,"")</f>
        <v/>
      </c>
      <c r="G37" s="34">
        <f>Transactions!L37</f>
        <v>0</v>
      </c>
      <c r="H37" s="12">
        <f t="shared" si="5"/>
        <v>0</v>
      </c>
      <c r="I37" s="12"/>
      <c r="J37" s="41" t="str">
        <f>IF(Transactions!$C37&gt;0,Transactions!$C37,"")</f>
        <v/>
      </c>
      <c r="K37" s="34">
        <f>Transactions!E37</f>
        <v>0</v>
      </c>
      <c r="L37" s="12">
        <f t="shared" si="6"/>
        <v>0</v>
      </c>
      <c r="M37" s="12"/>
      <c r="N37" s="41" t="str">
        <f>IF(Transactions!$K37&gt;0,Transactions!$K37,"")</f>
        <v/>
      </c>
      <c r="O37" s="34">
        <f>Transactions!M37</f>
        <v>0</v>
      </c>
      <c r="P37" s="12">
        <f t="shared" si="7"/>
        <v>0</v>
      </c>
      <c r="Q37" s="12"/>
      <c r="R37" s="41" t="str">
        <f>IF(Transactions!$C37&gt;0,Transactions!$C37,"")</f>
        <v/>
      </c>
      <c r="S37" s="34">
        <f>Transactions!F37</f>
        <v>0</v>
      </c>
      <c r="T37" s="12">
        <f t="shared" si="8"/>
        <v>0</v>
      </c>
      <c r="V37" s="41" t="str">
        <f>IF(Transactions!$K37&gt;0,Transactions!$K37,"")</f>
        <v/>
      </c>
      <c r="W37" s="34">
        <f>Transactions!N37</f>
        <v>0</v>
      </c>
      <c r="X37" s="12">
        <f t="shared" si="0"/>
        <v>0</v>
      </c>
      <c r="Y37" s="12"/>
      <c r="Z37" s="41" t="str">
        <f>IF(Transactions!$C37&gt;0,Transactions!$C37,"")</f>
        <v/>
      </c>
      <c r="AA37" s="34">
        <f>Transactions!G37</f>
        <v>0</v>
      </c>
      <c r="AB37" s="12">
        <f t="shared" si="1"/>
        <v>0</v>
      </c>
      <c r="AD37" s="41" t="str">
        <f>IF(Transactions!$K37&gt;0,Transactions!$K37,"")</f>
        <v/>
      </c>
      <c r="AE37" s="34">
        <f>Transactions!O37</f>
        <v>0</v>
      </c>
      <c r="AF37" s="12">
        <f t="shared" si="2"/>
        <v>0</v>
      </c>
      <c r="AH37" s="41" t="str">
        <f>IF(Transactions!$K37&gt;0,Transactions!$K37,"")</f>
        <v/>
      </c>
      <c r="AI37" s="34">
        <f>Transactions!P37</f>
        <v>0</v>
      </c>
      <c r="AJ37" s="12">
        <f t="shared" si="3"/>
        <v>0</v>
      </c>
    </row>
    <row r="38" spans="1:36" x14ac:dyDescent="0.35">
      <c r="A38" s="11"/>
      <c r="B38" s="41" t="str">
        <f>IF(Transactions!$C38&gt;0,Transactions!$C38,"")</f>
        <v/>
      </c>
      <c r="C38" s="34">
        <f>Transactions!D38</f>
        <v>0</v>
      </c>
      <c r="D38" s="12">
        <f t="shared" si="4"/>
        <v>0</v>
      </c>
      <c r="E38" s="12"/>
      <c r="F38" s="41" t="str">
        <f>IF(Transactions!$K38&gt;0,Transactions!$K38,"")</f>
        <v/>
      </c>
      <c r="G38" s="34">
        <f>Transactions!L38</f>
        <v>0</v>
      </c>
      <c r="H38" s="12">
        <f t="shared" si="5"/>
        <v>0</v>
      </c>
      <c r="I38" s="12"/>
      <c r="J38" s="41" t="str">
        <f>IF(Transactions!$C38&gt;0,Transactions!$C38,"")</f>
        <v/>
      </c>
      <c r="K38" s="34">
        <f>Transactions!E38</f>
        <v>0</v>
      </c>
      <c r="L38" s="12">
        <f t="shared" si="6"/>
        <v>0</v>
      </c>
      <c r="M38" s="12"/>
      <c r="N38" s="41" t="str">
        <f>IF(Transactions!$K38&gt;0,Transactions!$K38,"")</f>
        <v/>
      </c>
      <c r="O38" s="34">
        <f>Transactions!M38</f>
        <v>0</v>
      </c>
      <c r="P38" s="12">
        <f t="shared" si="7"/>
        <v>0</v>
      </c>
      <c r="Q38" s="12"/>
      <c r="R38" s="41" t="str">
        <f>IF(Transactions!$C38&gt;0,Transactions!$C38,"")</f>
        <v/>
      </c>
      <c r="S38" s="34">
        <f>Transactions!F38</f>
        <v>0</v>
      </c>
      <c r="T38" s="12">
        <f t="shared" si="8"/>
        <v>0</v>
      </c>
      <c r="V38" s="41" t="str">
        <f>IF(Transactions!$K38&gt;0,Transactions!$K38,"")</f>
        <v/>
      </c>
      <c r="W38" s="34">
        <f>Transactions!N38</f>
        <v>0</v>
      </c>
      <c r="X38" s="12">
        <f t="shared" si="0"/>
        <v>0</v>
      </c>
      <c r="Y38" s="12"/>
      <c r="Z38" s="41" t="str">
        <f>IF(Transactions!$C38&gt;0,Transactions!$C38,"")</f>
        <v/>
      </c>
      <c r="AA38" s="34">
        <f>Transactions!G38</f>
        <v>0</v>
      </c>
      <c r="AB38" s="12">
        <f t="shared" si="1"/>
        <v>0</v>
      </c>
      <c r="AD38" s="41" t="str">
        <f>IF(Transactions!$K38&gt;0,Transactions!$K38,"")</f>
        <v/>
      </c>
      <c r="AE38" s="34">
        <f>Transactions!O38</f>
        <v>0</v>
      </c>
      <c r="AF38" s="12">
        <f t="shared" si="2"/>
        <v>0</v>
      </c>
      <c r="AH38" s="41" t="str">
        <f>IF(Transactions!$K38&gt;0,Transactions!$K38,"")</f>
        <v/>
      </c>
      <c r="AI38" s="34">
        <f>Transactions!P38</f>
        <v>0</v>
      </c>
      <c r="AJ38" s="12">
        <f t="shared" si="3"/>
        <v>0</v>
      </c>
    </row>
    <row r="39" spans="1:36" x14ac:dyDescent="0.35">
      <c r="A39" s="11"/>
      <c r="B39" s="41" t="str">
        <f>IF(Transactions!$C39&gt;0,Transactions!$C39,"")</f>
        <v/>
      </c>
      <c r="C39" s="34">
        <f>Transactions!D39</f>
        <v>0</v>
      </c>
      <c r="D39" s="12">
        <f t="shared" si="4"/>
        <v>0</v>
      </c>
      <c r="E39" s="12"/>
      <c r="F39" s="41" t="str">
        <f>IF(Transactions!$K39&gt;0,Transactions!$K39,"")</f>
        <v/>
      </c>
      <c r="G39" s="34">
        <f>Transactions!L39</f>
        <v>0</v>
      </c>
      <c r="H39" s="12">
        <f t="shared" si="5"/>
        <v>0</v>
      </c>
      <c r="I39" s="12"/>
      <c r="J39" s="41" t="str">
        <f>IF(Transactions!$C39&gt;0,Transactions!$C39,"")</f>
        <v/>
      </c>
      <c r="K39" s="34">
        <f>Transactions!E39</f>
        <v>0</v>
      </c>
      <c r="L39" s="12">
        <f t="shared" si="6"/>
        <v>0</v>
      </c>
      <c r="M39" s="12"/>
      <c r="N39" s="41" t="str">
        <f>IF(Transactions!$K39&gt;0,Transactions!$K39,"")</f>
        <v/>
      </c>
      <c r="O39" s="34">
        <f>Transactions!M39</f>
        <v>0</v>
      </c>
      <c r="P39" s="12">
        <f t="shared" si="7"/>
        <v>0</v>
      </c>
      <c r="Q39" s="12"/>
      <c r="R39" s="41" t="str">
        <f>IF(Transactions!$C39&gt;0,Transactions!$C39,"")</f>
        <v/>
      </c>
      <c r="S39" s="34">
        <f>Transactions!F39</f>
        <v>0</v>
      </c>
      <c r="T39" s="12">
        <f t="shared" si="8"/>
        <v>0</v>
      </c>
      <c r="V39" s="41" t="str">
        <f>IF(Transactions!$K39&gt;0,Transactions!$K39,"")</f>
        <v/>
      </c>
      <c r="W39" s="34">
        <f>Transactions!N39</f>
        <v>0</v>
      </c>
      <c r="X39" s="12">
        <f t="shared" si="0"/>
        <v>0</v>
      </c>
      <c r="Y39" s="12"/>
      <c r="Z39" s="41" t="str">
        <f>IF(Transactions!$C39&gt;0,Transactions!$C39,"")</f>
        <v/>
      </c>
      <c r="AA39" s="34">
        <f>Transactions!G39</f>
        <v>0</v>
      </c>
      <c r="AB39" s="12">
        <f t="shared" si="1"/>
        <v>0</v>
      </c>
      <c r="AD39" s="41" t="str">
        <f>IF(Transactions!$K39&gt;0,Transactions!$K39,"")</f>
        <v/>
      </c>
      <c r="AE39" s="34">
        <f>Transactions!O39</f>
        <v>0</v>
      </c>
      <c r="AF39" s="12">
        <f t="shared" si="2"/>
        <v>0</v>
      </c>
      <c r="AH39" s="41" t="str">
        <f>IF(Transactions!$K39&gt;0,Transactions!$K39,"")</f>
        <v/>
      </c>
      <c r="AI39" s="34">
        <f>Transactions!P39</f>
        <v>0</v>
      </c>
      <c r="AJ39" s="12">
        <f t="shared" si="3"/>
        <v>0</v>
      </c>
    </row>
    <row r="40" spans="1:36" x14ac:dyDescent="0.35">
      <c r="A40" s="11"/>
      <c r="B40" s="41" t="str">
        <f>IF(Transactions!$C40&gt;0,Transactions!$C40,"")</f>
        <v/>
      </c>
      <c r="C40" s="34">
        <f>Transactions!D40</f>
        <v>0</v>
      </c>
      <c r="D40" s="12">
        <f t="shared" si="4"/>
        <v>0</v>
      </c>
      <c r="E40" s="12"/>
      <c r="F40" s="41" t="str">
        <f>IF(Transactions!$K40&gt;0,Transactions!$K40,"")</f>
        <v/>
      </c>
      <c r="G40" s="34">
        <f>Transactions!L40</f>
        <v>0</v>
      </c>
      <c r="H40" s="12">
        <f t="shared" si="5"/>
        <v>0</v>
      </c>
      <c r="I40" s="12"/>
      <c r="J40" s="41" t="str">
        <f>IF(Transactions!$C40&gt;0,Transactions!$C40,"")</f>
        <v/>
      </c>
      <c r="K40" s="34">
        <f>Transactions!E40</f>
        <v>0</v>
      </c>
      <c r="L40" s="12">
        <f t="shared" si="6"/>
        <v>0</v>
      </c>
      <c r="M40" s="12"/>
      <c r="N40" s="41" t="str">
        <f>IF(Transactions!$K40&gt;0,Transactions!$K40,"")</f>
        <v/>
      </c>
      <c r="O40" s="34">
        <f>Transactions!M40</f>
        <v>0</v>
      </c>
      <c r="P40" s="12">
        <f t="shared" si="7"/>
        <v>0</v>
      </c>
      <c r="Q40" s="12"/>
      <c r="R40" s="41" t="str">
        <f>IF(Transactions!$C40&gt;0,Transactions!$C40,"")</f>
        <v/>
      </c>
      <c r="S40" s="34">
        <f>Transactions!F40</f>
        <v>0</v>
      </c>
      <c r="T40" s="12">
        <f t="shared" si="8"/>
        <v>0</v>
      </c>
      <c r="V40" s="41" t="str">
        <f>IF(Transactions!$K40&gt;0,Transactions!$K40,"")</f>
        <v/>
      </c>
      <c r="W40" s="34">
        <f>Transactions!N40</f>
        <v>0</v>
      </c>
      <c r="X40" s="12">
        <f t="shared" si="0"/>
        <v>0</v>
      </c>
      <c r="Y40" s="12"/>
      <c r="Z40" s="41" t="str">
        <f>IF(Transactions!$C40&gt;0,Transactions!$C40,"")</f>
        <v/>
      </c>
      <c r="AA40" s="34">
        <f>Transactions!G40</f>
        <v>0</v>
      </c>
      <c r="AB40" s="12">
        <f t="shared" si="1"/>
        <v>0</v>
      </c>
      <c r="AD40" s="41" t="str">
        <f>IF(Transactions!$K40&gt;0,Transactions!$K40,"")</f>
        <v/>
      </c>
      <c r="AE40" s="34">
        <f>Transactions!O40</f>
        <v>0</v>
      </c>
      <c r="AF40" s="12">
        <f t="shared" si="2"/>
        <v>0</v>
      </c>
      <c r="AH40" s="41" t="str">
        <f>IF(Transactions!$K40&gt;0,Transactions!$K40,"")</f>
        <v/>
      </c>
      <c r="AI40" s="34">
        <f>Transactions!P40</f>
        <v>0</v>
      </c>
      <c r="AJ40" s="12">
        <f t="shared" si="3"/>
        <v>0</v>
      </c>
    </row>
    <row r="41" spans="1:36" x14ac:dyDescent="0.35">
      <c r="A41" s="11"/>
      <c r="B41" s="41" t="str">
        <f>IF(Transactions!$C41&gt;0,Transactions!$C41,"")</f>
        <v/>
      </c>
      <c r="C41" s="34">
        <f>Transactions!D41</f>
        <v>0</v>
      </c>
      <c r="D41" s="12">
        <f t="shared" si="4"/>
        <v>0</v>
      </c>
      <c r="E41" s="12"/>
      <c r="F41" s="41" t="str">
        <f>IF(Transactions!$K41&gt;0,Transactions!$K41,"")</f>
        <v/>
      </c>
      <c r="G41" s="34">
        <f>Transactions!L41</f>
        <v>0</v>
      </c>
      <c r="H41" s="12">
        <f t="shared" si="5"/>
        <v>0</v>
      </c>
      <c r="I41" s="12"/>
      <c r="J41" s="41" t="str">
        <f>IF(Transactions!$C41&gt;0,Transactions!$C41,"")</f>
        <v/>
      </c>
      <c r="K41" s="34">
        <f>Transactions!E41</f>
        <v>0</v>
      </c>
      <c r="L41" s="12">
        <f t="shared" si="6"/>
        <v>0</v>
      </c>
      <c r="M41" s="12"/>
      <c r="N41" s="41" t="str">
        <f>IF(Transactions!$K41&gt;0,Transactions!$K41,"")</f>
        <v/>
      </c>
      <c r="O41" s="34">
        <f>Transactions!M41</f>
        <v>0</v>
      </c>
      <c r="P41" s="12">
        <f t="shared" si="7"/>
        <v>0</v>
      </c>
      <c r="Q41" s="12"/>
      <c r="R41" s="41" t="str">
        <f>IF(Transactions!$C41&gt;0,Transactions!$C41,"")</f>
        <v/>
      </c>
      <c r="S41" s="34">
        <f>Transactions!F41</f>
        <v>0</v>
      </c>
      <c r="T41" s="12">
        <f t="shared" si="8"/>
        <v>0</v>
      </c>
      <c r="V41" s="41" t="str">
        <f>IF(Transactions!$K41&gt;0,Transactions!$K41,"")</f>
        <v/>
      </c>
      <c r="W41" s="34">
        <f>Transactions!N41</f>
        <v>0</v>
      </c>
      <c r="X41" s="12">
        <f t="shared" si="0"/>
        <v>0</v>
      </c>
      <c r="Y41" s="12"/>
      <c r="Z41" s="41" t="str">
        <f>IF(Transactions!$C41&gt;0,Transactions!$C41,"")</f>
        <v/>
      </c>
      <c r="AA41" s="34">
        <f>Transactions!G41</f>
        <v>0</v>
      </c>
      <c r="AB41" s="12">
        <f t="shared" si="1"/>
        <v>0</v>
      </c>
      <c r="AD41" s="41" t="str">
        <f>IF(Transactions!$K41&gt;0,Transactions!$K41,"")</f>
        <v/>
      </c>
      <c r="AE41" s="34">
        <f>Transactions!O41</f>
        <v>0</v>
      </c>
      <c r="AF41" s="12">
        <f t="shared" si="2"/>
        <v>0</v>
      </c>
      <c r="AH41" s="41" t="str">
        <f>IF(Transactions!$K41&gt;0,Transactions!$K41,"")</f>
        <v/>
      </c>
      <c r="AI41" s="34">
        <f>Transactions!P41</f>
        <v>0</v>
      </c>
      <c r="AJ41" s="12">
        <f t="shared" si="3"/>
        <v>0</v>
      </c>
    </row>
    <row r="42" spans="1:36" x14ac:dyDescent="0.35">
      <c r="A42" s="11"/>
      <c r="B42" s="41" t="str">
        <f>IF(Transactions!$C42&gt;0,Transactions!$C42,"")</f>
        <v/>
      </c>
      <c r="C42" s="34">
        <f>Transactions!D42</f>
        <v>0</v>
      </c>
      <c r="D42" s="12">
        <f t="shared" si="4"/>
        <v>0</v>
      </c>
      <c r="E42" s="12"/>
      <c r="F42" s="41" t="str">
        <f>IF(Transactions!$K42&gt;0,Transactions!$K42,"")</f>
        <v/>
      </c>
      <c r="G42" s="34">
        <f>Transactions!L42</f>
        <v>0</v>
      </c>
      <c r="H42" s="12">
        <f t="shared" si="5"/>
        <v>0</v>
      </c>
      <c r="I42" s="12"/>
      <c r="J42" s="41" t="str">
        <f>IF(Transactions!$C42&gt;0,Transactions!$C42,"")</f>
        <v/>
      </c>
      <c r="K42" s="34">
        <f>Transactions!E42</f>
        <v>0</v>
      </c>
      <c r="L42" s="12">
        <f t="shared" si="6"/>
        <v>0</v>
      </c>
      <c r="M42" s="12"/>
      <c r="N42" s="41" t="str">
        <f>IF(Transactions!$K42&gt;0,Transactions!$K42,"")</f>
        <v/>
      </c>
      <c r="O42" s="34">
        <f>Transactions!M42</f>
        <v>0</v>
      </c>
      <c r="P42" s="12">
        <f t="shared" si="7"/>
        <v>0</v>
      </c>
      <c r="Q42" s="12"/>
      <c r="R42" s="41" t="str">
        <f>IF(Transactions!$C42&gt;0,Transactions!$C42,"")</f>
        <v/>
      </c>
      <c r="S42" s="34">
        <f>Transactions!F42</f>
        <v>0</v>
      </c>
      <c r="T42" s="12">
        <f t="shared" si="8"/>
        <v>0</v>
      </c>
      <c r="V42" s="41" t="str">
        <f>IF(Transactions!$K42&gt;0,Transactions!$K42,"")</f>
        <v/>
      </c>
      <c r="W42" s="34">
        <f>Transactions!N42</f>
        <v>0</v>
      </c>
      <c r="X42" s="12">
        <f t="shared" si="0"/>
        <v>0</v>
      </c>
      <c r="Y42" s="12"/>
      <c r="Z42" s="41" t="str">
        <f>IF(Transactions!$C42&gt;0,Transactions!$C42,"")</f>
        <v/>
      </c>
      <c r="AA42" s="34">
        <f>Transactions!G42</f>
        <v>0</v>
      </c>
      <c r="AB42" s="12">
        <f t="shared" si="1"/>
        <v>0</v>
      </c>
      <c r="AD42" s="41" t="str">
        <f>IF(Transactions!$K42&gt;0,Transactions!$K42,"")</f>
        <v/>
      </c>
      <c r="AE42" s="34">
        <f>Transactions!O42</f>
        <v>0</v>
      </c>
      <c r="AF42" s="12">
        <f t="shared" si="2"/>
        <v>0</v>
      </c>
      <c r="AH42" s="41" t="str">
        <f>IF(Transactions!$K42&gt;0,Transactions!$K42,"")</f>
        <v/>
      </c>
      <c r="AI42" s="34">
        <f>Transactions!P42</f>
        <v>0</v>
      </c>
      <c r="AJ42" s="12">
        <f t="shared" si="3"/>
        <v>0</v>
      </c>
    </row>
    <row r="43" spans="1:36" x14ac:dyDescent="0.35">
      <c r="A43" s="11"/>
      <c r="B43" s="41" t="str">
        <f>IF(Transactions!$C43&gt;0,Transactions!$C43,"")</f>
        <v/>
      </c>
      <c r="C43" s="34">
        <f>Transactions!D43</f>
        <v>0</v>
      </c>
      <c r="D43" s="12">
        <f t="shared" si="4"/>
        <v>0</v>
      </c>
      <c r="E43" s="12"/>
      <c r="F43" s="41" t="str">
        <f>IF(Transactions!$K43&gt;0,Transactions!$K43,"")</f>
        <v/>
      </c>
      <c r="G43" s="34">
        <f>Transactions!L43</f>
        <v>0</v>
      </c>
      <c r="H43" s="12">
        <f t="shared" si="5"/>
        <v>0</v>
      </c>
      <c r="I43" s="12"/>
      <c r="J43" s="41" t="str">
        <f>IF(Transactions!$C43&gt;0,Transactions!$C43,"")</f>
        <v/>
      </c>
      <c r="K43" s="34">
        <f>Transactions!E43</f>
        <v>0</v>
      </c>
      <c r="L43" s="12">
        <f t="shared" si="6"/>
        <v>0</v>
      </c>
      <c r="M43" s="12"/>
      <c r="N43" s="41" t="str">
        <f>IF(Transactions!$K43&gt;0,Transactions!$K43,"")</f>
        <v/>
      </c>
      <c r="O43" s="34">
        <f>Transactions!M43</f>
        <v>0</v>
      </c>
      <c r="P43" s="12">
        <f t="shared" si="7"/>
        <v>0</v>
      </c>
      <c r="Q43" s="12"/>
      <c r="R43" s="41" t="str">
        <f>IF(Transactions!$C43&gt;0,Transactions!$C43,"")</f>
        <v/>
      </c>
      <c r="S43" s="34">
        <f>Transactions!F43</f>
        <v>0</v>
      </c>
      <c r="T43" s="12">
        <f t="shared" si="8"/>
        <v>0</v>
      </c>
      <c r="V43" s="41" t="str">
        <f>IF(Transactions!$K43&gt;0,Transactions!$K43,"")</f>
        <v/>
      </c>
      <c r="W43" s="34">
        <f>Transactions!N43</f>
        <v>0</v>
      </c>
      <c r="X43" s="12">
        <f t="shared" si="0"/>
        <v>0</v>
      </c>
      <c r="Y43" s="12"/>
      <c r="Z43" s="41" t="str">
        <f>IF(Transactions!$C43&gt;0,Transactions!$C43,"")</f>
        <v/>
      </c>
      <c r="AA43" s="34">
        <f>Transactions!G43</f>
        <v>0</v>
      </c>
      <c r="AB43" s="12">
        <f t="shared" si="1"/>
        <v>0</v>
      </c>
      <c r="AD43" s="41" t="str">
        <f>IF(Transactions!$K43&gt;0,Transactions!$K43,"")</f>
        <v/>
      </c>
      <c r="AE43" s="34">
        <f>Transactions!O43</f>
        <v>0</v>
      </c>
      <c r="AF43" s="12">
        <f t="shared" si="2"/>
        <v>0</v>
      </c>
      <c r="AH43" s="41" t="str">
        <f>IF(Transactions!$K43&gt;0,Transactions!$K43,"")</f>
        <v/>
      </c>
      <c r="AI43" s="34">
        <f>Transactions!P43</f>
        <v>0</v>
      </c>
      <c r="AJ43" s="12">
        <f t="shared" si="3"/>
        <v>0</v>
      </c>
    </row>
    <row r="44" spans="1:36" x14ac:dyDescent="0.35">
      <c r="A44" s="11"/>
      <c r="B44" s="41" t="str">
        <f>IF(Transactions!$C44&gt;0,Transactions!$C44,"")</f>
        <v/>
      </c>
      <c r="C44" s="34">
        <f>Transactions!D44</f>
        <v>0</v>
      </c>
      <c r="D44" s="12">
        <f t="shared" si="4"/>
        <v>0</v>
      </c>
      <c r="E44" s="12"/>
      <c r="F44" s="41" t="str">
        <f>IF(Transactions!$K44&gt;0,Transactions!$K44,"")</f>
        <v/>
      </c>
      <c r="G44" s="34">
        <f>Transactions!L44</f>
        <v>0</v>
      </c>
      <c r="H44" s="12">
        <f t="shared" si="5"/>
        <v>0</v>
      </c>
      <c r="I44" s="12"/>
      <c r="J44" s="41" t="str">
        <f>IF(Transactions!$C44&gt;0,Transactions!$C44,"")</f>
        <v/>
      </c>
      <c r="K44" s="34">
        <f>Transactions!E44</f>
        <v>0</v>
      </c>
      <c r="L44" s="12">
        <f t="shared" si="6"/>
        <v>0</v>
      </c>
      <c r="M44" s="12"/>
      <c r="N44" s="41" t="str">
        <f>IF(Transactions!$K44&gt;0,Transactions!$K44,"")</f>
        <v/>
      </c>
      <c r="O44" s="34">
        <f>Transactions!M44</f>
        <v>0</v>
      </c>
      <c r="P44" s="12">
        <f t="shared" si="7"/>
        <v>0</v>
      </c>
      <c r="Q44" s="12"/>
      <c r="R44" s="41" t="str">
        <f>IF(Transactions!$C44&gt;0,Transactions!$C44,"")</f>
        <v/>
      </c>
      <c r="S44" s="34">
        <f>Transactions!F44</f>
        <v>0</v>
      </c>
      <c r="T44" s="12">
        <f t="shared" si="8"/>
        <v>0</v>
      </c>
      <c r="V44" s="41" t="str">
        <f>IF(Transactions!$K44&gt;0,Transactions!$K44,"")</f>
        <v/>
      </c>
      <c r="W44" s="34">
        <f>Transactions!N44</f>
        <v>0</v>
      </c>
      <c r="X44" s="12">
        <f t="shared" si="0"/>
        <v>0</v>
      </c>
      <c r="Y44" s="12"/>
      <c r="Z44" s="41" t="str">
        <f>IF(Transactions!$C44&gt;0,Transactions!$C44,"")</f>
        <v/>
      </c>
      <c r="AA44" s="34">
        <f>Transactions!G44</f>
        <v>0</v>
      </c>
      <c r="AB44" s="12">
        <f t="shared" si="1"/>
        <v>0</v>
      </c>
      <c r="AD44" s="41" t="str">
        <f>IF(Transactions!$K44&gt;0,Transactions!$K44,"")</f>
        <v/>
      </c>
      <c r="AE44" s="34">
        <f>Transactions!O44</f>
        <v>0</v>
      </c>
      <c r="AF44" s="12">
        <f t="shared" si="2"/>
        <v>0</v>
      </c>
      <c r="AH44" s="41" t="str">
        <f>IF(Transactions!$K44&gt;0,Transactions!$K44,"")</f>
        <v/>
      </c>
      <c r="AI44" s="34">
        <f>Transactions!P44</f>
        <v>0</v>
      </c>
      <c r="AJ44" s="12">
        <f t="shared" si="3"/>
        <v>0</v>
      </c>
    </row>
    <row r="45" spans="1:36" x14ac:dyDescent="0.35">
      <c r="A45" s="11"/>
      <c r="B45" s="41" t="str">
        <f>IF(Transactions!$C45&gt;0,Transactions!$C45,"")</f>
        <v/>
      </c>
      <c r="C45" s="34">
        <f>Transactions!D45</f>
        <v>0</v>
      </c>
      <c r="D45" s="12">
        <f t="shared" si="4"/>
        <v>0</v>
      </c>
      <c r="E45" s="12"/>
      <c r="F45" s="41" t="str">
        <f>IF(Transactions!$K45&gt;0,Transactions!$K45,"")</f>
        <v/>
      </c>
      <c r="G45" s="34">
        <f>Transactions!L45</f>
        <v>0</v>
      </c>
      <c r="H45" s="12">
        <f t="shared" si="5"/>
        <v>0</v>
      </c>
      <c r="I45" s="12"/>
      <c r="J45" s="41" t="str">
        <f>IF(Transactions!$C45&gt;0,Transactions!$C45,"")</f>
        <v/>
      </c>
      <c r="K45" s="34">
        <f>Transactions!E45</f>
        <v>0</v>
      </c>
      <c r="L45" s="12">
        <f t="shared" si="6"/>
        <v>0</v>
      </c>
      <c r="M45" s="12"/>
      <c r="N45" s="41" t="str">
        <f>IF(Transactions!$K45&gt;0,Transactions!$K45,"")</f>
        <v/>
      </c>
      <c r="O45" s="34">
        <f>Transactions!M45</f>
        <v>0</v>
      </c>
      <c r="P45" s="12">
        <f t="shared" si="7"/>
        <v>0</v>
      </c>
      <c r="Q45" s="12"/>
      <c r="R45" s="41" t="str">
        <f>IF(Transactions!$C45&gt;0,Transactions!$C45,"")</f>
        <v/>
      </c>
      <c r="S45" s="34">
        <f>Transactions!F45</f>
        <v>0</v>
      </c>
      <c r="T45" s="12">
        <f t="shared" si="8"/>
        <v>0</v>
      </c>
      <c r="V45" s="41" t="str">
        <f>IF(Transactions!$K45&gt;0,Transactions!$K45,"")</f>
        <v/>
      </c>
      <c r="W45" s="34">
        <f>Transactions!N45</f>
        <v>0</v>
      </c>
      <c r="X45" s="12">
        <f t="shared" si="0"/>
        <v>0</v>
      </c>
      <c r="Y45" s="12"/>
      <c r="Z45" s="41" t="str">
        <f>IF(Transactions!$C45&gt;0,Transactions!$C45,"")</f>
        <v/>
      </c>
      <c r="AA45" s="34">
        <f>Transactions!G45</f>
        <v>0</v>
      </c>
      <c r="AB45" s="12">
        <f t="shared" si="1"/>
        <v>0</v>
      </c>
      <c r="AD45" s="41" t="str">
        <f>IF(Transactions!$K45&gt;0,Transactions!$K45,"")</f>
        <v/>
      </c>
      <c r="AE45" s="34">
        <f>Transactions!O45</f>
        <v>0</v>
      </c>
      <c r="AF45" s="12">
        <f t="shared" si="2"/>
        <v>0</v>
      </c>
      <c r="AH45" s="41" t="str">
        <f>IF(Transactions!$K45&gt;0,Transactions!$K45,"")</f>
        <v/>
      </c>
      <c r="AI45" s="34">
        <f>Transactions!P45</f>
        <v>0</v>
      </c>
      <c r="AJ45" s="12">
        <f t="shared" si="3"/>
        <v>0</v>
      </c>
    </row>
    <row r="46" spans="1:36" x14ac:dyDescent="0.35">
      <c r="A46" s="11"/>
      <c r="B46" s="41" t="str">
        <f>IF(Transactions!$C46&gt;0,Transactions!$C46,"")</f>
        <v/>
      </c>
      <c r="C46" s="34">
        <f>Transactions!D46</f>
        <v>0</v>
      </c>
      <c r="D46" s="12">
        <f t="shared" si="4"/>
        <v>0</v>
      </c>
      <c r="E46" s="12"/>
      <c r="F46" s="41" t="str">
        <f>IF(Transactions!$K46&gt;0,Transactions!$K46,"")</f>
        <v/>
      </c>
      <c r="G46" s="34">
        <f>Transactions!L46</f>
        <v>0</v>
      </c>
      <c r="H46" s="12">
        <f t="shared" si="5"/>
        <v>0</v>
      </c>
      <c r="I46" s="12"/>
      <c r="J46" s="41" t="str">
        <f>IF(Transactions!$C46&gt;0,Transactions!$C46,"")</f>
        <v/>
      </c>
      <c r="K46" s="34">
        <f>Transactions!E46</f>
        <v>0</v>
      </c>
      <c r="L46" s="12">
        <f t="shared" si="6"/>
        <v>0</v>
      </c>
      <c r="M46" s="12"/>
      <c r="N46" s="41" t="str">
        <f>IF(Transactions!$K46&gt;0,Transactions!$K46,"")</f>
        <v/>
      </c>
      <c r="O46" s="34">
        <f>Transactions!M46</f>
        <v>0</v>
      </c>
      <c r="P46" s="12">
        <f t="shared" si="7"/>
        <v>0</v>
      </c>
      <c r="Q46" s="12"/>
      <c r="R46" s="41" t="str">
        <f>IF(Transactions!$C46&gt;0,Transactions!$C46,"")</f>
        <v/>
      </c>
      <c r="S46" s="34">
        <f>Transactions!F46</f>
        <v>0</v>
      </c>
      <c r="T46" s="12">
        <f t="shared" si="8"/>
        <v>0</v>
      </c>
      <c r="V46" s="41" t="str">
        <f>IF(Transactions!$K46&gt;0,Transactions!$K46,"")</f>
        <v/>
      </c>
      <c r="W46" s="34">
        <f>Transactions!N46</f>
        <v>0</v>
      </c>
      <c r="X46" s="12">
        <f t="shared" si="0"/>
        <v>0</v>
      </c>
      <c r="Y46" s="12"/>
      <c r="Z46" s="41" t="str">
        <f>IF(Transactions!$C46&gt;0,Transactions!$C46,"")</f>
        <v/>
      </c>
      <c r="AA46" s="34">
        <f>Transactions!G46</f>
        <v>0</v>
      </c>
      <c r="AB46" s="12">
        <f t="shared" si="1"/>
        <v>0</v>
      </c>
      <c r="AD46" s="41" t="str">
        <f>IF(Transactions!$K46&gt;0,Transactions!$K46,"")</f>
        <v/>
      </c>
      <c r="AE46" s="34">
        <f>Transactions!O46</f>
        <v>0</v>
      </c>
      <c r="AF46" s="12">
        <f t="shared" si="2"/>
        <v>0</v>
      </c>
      <c r="AH46" s="41" t="str">
        <f>IF(Transactions!$K46&gt;0,Transactions!$K46,"")</f>
        <v/>
      </c>
      <c r="AI46" s="34">
        <f>Transactions!P46</f>
        <v>0</v>
      </c>
      <c r="AJ46" s="12">
        <f t="shared" si="3"/>
        <v>0</v>
      </c>
    </row>
    <row r="47" spans="1:36" x14ac:dyDescent="0.35">
      <c r="A47" s="11" t="s">
        <v>34</v>
      </c>
      <c r="B47" s="12"/>
      <c r="C47" s="12">
        <f>+ROUND(SUM(C14:C46),0)</f>
        <v>0</v>
      </c>
      <c r="D47" s="12"/>
      <c r="E47" s="12"/>
      <c r="F47" s="12"/>
      <c r="G47" s="12">
        <f>+ROUND(SUM(G14:G46),0)</f>
        <v>0</v>
      </c>
      <c r="H47" s="12"/>
      <c r="I47" s="12"/>
      <c r="J47" s="12"/>
      <c r="K47" s="12">
        <f>+ROUND(SUM(K14:K46),0)</f>
        <v>0</v>
      </c>
      <c r="L47" s="12"/>
      <c r="M47" s="12"/>
      <c r="N47" s="12"/>
      <c r="O47" s="12">
        <f>+ROUND(SUM(O14:O46),0)</f>
        <v>0</v>
      </c>
      <c r="P47" s="12"/>
      <c r="Q47" s="12"/>
      <c r="R47" s="12"/>
      <c r="S47" s="12">
        <f>+ROUND(SUM(S14:S46),0)</f>
        <v>0</v>
      </c>
      <c r="T47" s="12"/>
      <c r="V47" s="12"/>
      <c r="W47" s="12">
        <f>+ROUND(SUM(W14:W46),0)</f>
        <v>0</v>
      </c>
      <c r="X47" s="12"/>
      <c r="Y47" s="12"/>
      <c r="Z47" s="12"/>
      <c r="AA47" s="12">
        <f>+ROUND(SUM(AA14:AA46),0)</f>
        <v>0</v>
      </c>
      <c r="AB47" s="12"/>
      <c r="AD47" s="12"/>
      <c r="AE47" s="12">
        <f>+ROUND(SUM(AE14:AE46),0)</f>
        <v>0</v>
      </c>
      <c r="AF47" s="12"/>
      <c r="AH47" s="12"/>
      <c r="AI47" s="12">
        <f>+ROUND(SUM(AI14:AI46),0)</f>
        <v>0</v>
      </c>
      <c r="AJ47" s="12"/>
    </row>
    <row r="48" spans="1:36" x14ac:dyDescent="0.35">
      <c r="A48" s="11" t="s">
        <v>35</v>
      </c>
      <c r="B48" s="12"/>
      <c r="C48" s="12"/>
      <c r="D48" s="12">
        <f>+ROUND(SUM(D14:D46),0)</f>
        <v>0</v>
      </c>
      <c r="E48" s="12"/>
      <c r="F48" s="12"/>
      <c r="G48" s="12"/>
      <c r="H48" s="12">
        <f>+ROUND(SUM(H14:H46),0)</f>
        <v>0</v>
      </c>
      <c r="I48" s="12"/>
      <c r="J48" s="12"/>
      <c r="K48" s="12"/>
      <c r="L48" s="12">
        <f>+ROUND(SUM(L14:L46),0)</f>
        <v>0</v>
      </c>
      <c r="M48" s="12"/>
      <c r="N48" s="12"/>
      <c r="O48" s="12"/>
      <c r="P48" s="12">
        <f>+ROUND(SUM(P14:P46),0)</f>
        <v>0</v>
      </c>
      <c r="Q48" s="12"/>
      <c r="R48" s="12"/>
      <c r="S48" s="12"/>
      <c r="T48" s="12">
        <f>+ROUND(SUM(T14:T46),0)</f>
        <v>0</v>
      </c>
      <c r="V48" s="12"/>
      <c r="W48" s="12"/>
      <c r="X48" s="12">
        <f>+ROUND(SUM(X14:X46),0)</f>
        <v>0</v>
      </c>
      <c r="Y48" s="12"/>
      <c r="Z48" s="12"/>
      <c r="AA48" s="12"/>
      <c r="AB48" s="12">
        <f>+ROUND(SUM(AB14:AB46),0)</f>
        <v>0</v>
      </c>
      <c r="AD48" s="12"/>
      <c r="AE48" s="12"/>
      <c r="AF48" s="12">
        <f>+ROUND(SUM(AF14:AF46),0)</f>
        <v>0</v>
      </c>
      <c r="AH48" s="12"/>
      <c r="AI48" s="12"/>
      <c r="AJ48" s="12">
        <f>+ROUND(SUM(AJ14:AJ46),0)</f>
        <v>0</v>
      </c>
    </row>
    <row r="49" spans="1:36" x14ac:dyDescent="0.35">
      <c r="A49" s="16" t="s">
        <v>36</v>
      </c>
      <c r="B49" s="17"/>
      <c r="C49" s="17"/>
      <c r="D49" s="17">
        <f>+IF(B8=1,+D48,(D48/100000000))</f>
        <v>0</v>
      </c>
      <c r="E49" s="17"/>
      <c r="F49" s="17"/>
      <c r="G49" s="17"/>
      <c r="H49" s="17">
        <f>+IF(F8=1,+H48,(H48/100000000))</f>
        <v>0</v>
      </c>
      <c r="I49" s="17"/>
      <c r="J49" s="17"/>
      <c r="K49" s="17"/>
      <c r="L49" s="17">
        <f>+IF(J8=1,+L48,(L48/100000000))</f>
        <v>0</v>
      </c>
      <c r="M49" s="17"/>
      <c r="N49" s="17"/>
      <c r="O49" s="17"/>
      <c r="P49" s="17">
        <f>+IF(N8=1,+P48,(P48/100000000))</f>
        <v>0</v>
      </c>
      <c r="Q49" s="17"/>
      <c r="R49" s="17"/>
      <c r="S49" s="17"/>
      <c r="T49" s="17">
        <f>+IF(R8=1,+T48,(T48/100000000))</f>
        <v>0</v>
      </c>
      <c r="V49" s="17"/>
      <c r="W49" s="17"/>
      <c r="X49" s="17">
        <f>+IF(V8=1,+X48,(X48/100000000))</f>
        <v>0</v>
      </c>
      <c r="Y49" s="17"/>
      <c r="Z49" s="17"/>
      <c r="AA49" s="17"/>
      <c r="AB49" s="17">
        <f>+IF(Z8=1,+AB48,(AB48/100000000))</f>
        <v>0</v>
      </c>
      <c r="AD49" s="17"/>
      <c r="AE49" s="17"/>
      <c r="AF49" s="17">
        <f>+IF(AD8=1,+AF48,(AF48/100000000))</f>
        <v>0</v>
      </c>
      <c r="AH49" s="17"/>
      <c r="AI49" s="17"/>
      <c r="AJ49" s="17">
        <f>+IF(AH8=1,+AJ48,(AJ48/100000000))</f>
        <v>0</v>
      </c>
    </row>
    <row r="50" spans="1:36" x14ac:dyDescent="0.35">
      <c r="A50" s="18">
        <f>+D49+H49+L49+P49+T49+X49+AB49+AF49+AJ49</f>
        <v>0</v>
      </c>
      <c r="B50" s="18"/>
      <c r="C50" s="17"/>
      <c r="D50" s="17"/>
      <c r="E50" s="17"/>
      <c r="F50" s="17"/>
      <c r="G50" s="17"/>
      <c r="H50" s="17"/>
      <c r="I50" s="17"/>
      <c r="J50" s="17"/>
      <c r="K50" s="17"/>
      <c r="L50" s="17"/>
      <c r="M50" s="17"/>
      <c r="N50" s="17"/>
      <c r="O50" s="17"/>
      <c r="P50" s="17"/>
      <c r="Q50" s="17"/>
      <c r="R50" s="17"/>
      <c r="S50" s="17"/>
      <c r="T50" s="17"/>
      <c r="V50" s="17"/>
      <c r="W50" s="17"/>
      <c r="X50" s="17"/>
      <c r="Y50" s="17"/>
      <c r="Z50" s="17"/>
      <c r="AA50" s="17"/>
      <c r="AB50" s="17"/>
      <c r="AD50" s="17"/>
      <c r="AE50" s="17"/>
      <c r="AF50" s="17"/>
      <c r="AH50" s="17"/>
      <c r="AI50" s="17"/>
      <c r="AJ50" s="17"/>
    </row>
    <row r="51" spans="1:36" x14ac:dyDescent="0.35">
      <c r="A51" s="14"/>
      <c r="B51" s="12"/>
      <c r="C51" s="12"/>
      <c r="D51" s="12" t="s">
        <v>191</v>
      </c>
      <c r="E51" s="12"/>
      <c r="F51" s="12" t="s">
        <v>189</v>
      </c>
      <c r="G51" s="12" t="s">
        <v>60</v>
      </c>
      <c r="H51" s="12"/>
      <c r="I51" s="12"/>
      <c r="J51" s="12"/>
      <c r="K51" s="12"/>
      <c r="L51" s="12"/>
      <c r="M51" s="12"/>
      <c r="N51" s="12"/>
      <c r="O51" s="12"/>
      <c r="P51" s="12"/>
      <c r="Q51" s="12"/>
      <c r="R51" s="12"/>
      <c r="S51" s="12"/>
      <c r="T51" s="12"/>
      <c r="V51" s="12"/>
      <c r="W51" s="12"/>
      <c r="X51" s="12"/>
      <c r="Y51" s="12"/>
      <c r="Z51" s="12"/>
      <c r="AA51" s="12"/>
      <c r="AB51" s="12"/>
      <c r="AD51" s="12"/>
      <c r="AE51" s="12"/>
      <c r="AF51" s="12"/>
      <c r="AH51" s="12"/>
      <c r="AI51" s="12"/>
      <c r="AJ51" s="12"/>
    </row>
    <row r="52" spans="1:36" ht="15" x14ac:dyDescent="0.4">
      <c r="A52" s="9" t="s">
        <v>37</v>
      </c>
      <c r="B52" s="19"/>
      <c r="C52" s="12"/>
      <c r="D52" s="20">
        <f>ROUND(A50,0)</f>
        <v>0</v>
      </c>
      <c r="E52" s="12"/>
      <c r="F52" s="12">
        <f>IF(B8=1,C47,)+IF(F8=1,G47,)+IF(J8=1,K47,)+IF(N8=1,O47,)+IF(R8=1,S47,)+IF(V8=1,W47,)+IF(Z8=1,AA47,)+IF(AD8=1,AE47,)+IF(AH8=1,AI47,)</f>
        <v>0</v>
      </c>
      <c r="G52" s="12">
        <f>IF(B8=1,C14,)+IF(F8=1,G14,)+IF(J8=1,K14,)+IF(N8=1,O14,)+IF(R8=1,S14,)+IF(V8=1,W14,)+IF(Z8=1,AA14,)+IF(AD8=1,AE14,)+IF(AH8=1,AI14,)</f>
        <v>0</v>
      </c>
      <c r="H52" s="12"/>
      <c r="I52" s="12"/>
      <c r="J52" s="12" t="s">
        <v>42</v>
      </c>
      <c r="K52" s="12">
        <f>C14+G14+K14+O14+S14+W14+AA14+AE14+AI14</f>
        <v>0</v>
      </c>
      <c r="L52" s="12"/>
      <c r="M52" s="12"/>
      <c r="N52" s="12"/>
      <c r="O52" s="12"/>
      <c r="P52" s="12"/>
      <c r="Q52" s="12"/>
      <c r="R52" s="12"/>
      <c r="S52" s="12"/>
      <c r="T52" s="12"/>
      <c r="V52" s="12"/>
      <c r="W52" s="12"/>
      <c r="X52" s="12"/>
      <c r="Y52" s="12"/>
      <c r="Z52" s="12"/>
      <c r="AA52" s="12"/>
      <c r="AB52" s="12"/>
      <c r="AD52" s="12"/>
      <c r="AE52" s="12"/>
      <c r="AF52" s="12"/>
      <c r="AH52" s="12"/>
      <c r="AI52" s="12"/>
      <c r="AJ52" s="12"/>
    </row>
    <row r="53" spans="1:36" ht="15" x14ac:dyDescent="0.4">
      <c r="A53" s="9" t="s">
        <v>38</v>
      </c>
      <c r="B53" s="19"/>
      <c r="C53" s="12"/>
      <c r="D53" s="20">
        <f>ROUND((+A50-INT(A50))*100000000,0)</f>
        <v>0</v>
      </c>
      <c r="E53" s="12"/>
      <c r="F53" s="12">
        <f>F54-F52</f>
        <v>0</v>
      </c>
      <c r="G53" s="12">
        <f>G54-G52</f>
        <v>0</v>
      </c>
      <c r="H53" s="12"/>
      <c r="I53" s="12"/>
      <c r="J53" s="12" t="s">
        <v>43</v>
      </c>
      <c r="K53" s="12">
        <f>+D48+H48+L48+P48+T48+X48+AB48+AF48+AJ48</f>
        <v>0</v>
      </c>
      <c r="L53" s="12"/>
      <c r="M53" s="12"/>
      <c r="N53" s="12"/>
      <c r="O53" s="12"/>
      <c r="P53" s="12"/>
      <c r="Q53" s="12"/>
      <c r="R53" s="12"/>
      <c r="S53" s="12"/>
      <c r="T53" s="12"/>
      <c r="V53" s="12"/>
      <c r="W53" s="12"/>
      <c r="X53" s="12"/>
      <c r="Y53" s="12"/>
      <c r="Z53" s="12"/>
      <c r="AA53" s="12"/>
      <c r="AB53" s="12"/>
      <c r="AD53" s="12"/>
      <c r="AE53" s="12"/>
      <c r="AF53" s="12"/>
      <c r="AH53" s="12"/>
      <c r="AI53" s="12"/>
      <c r="AJ53" s="12"/>
    </row>
    <row r="54" spans="1:36" ht="15" x14ac:dyDescent="0.4">
      <c r="A54" s="9" t="s">
        <v>39</v>
      </c>
      <c r="B54" s="21"/>
      <c r="C54" s="12"/>
      <c r="D54" s="20">
        <f>ROUND(D52+(A50-D52)*100000000,0)</f>
        <v>0</v>
      </c>
      <c r="E54" s="12"/>
      <c r="F54" s="12">
        <f>C47+G47+K47+O47+S47+W47+AA47+AE47+AI47</f>
        <v>0</v>
      </c>
      <c r="G54" s="30">
        <f>C14+G14+K14+O14+S14+W14+AA14+AE14+AI14</f>
        <v>0</v>
      </c>
      <c r="H54" s="12"/>
      <c r="I54" s="12"/>
      <c r="J54" s="12"/>
      <c r="K54" s="12"/>
      <c r="L54" s="12"/>
      <c r="M54" s="12"/>
      <c r="N54" s="12"/>
      <c r="O54" s="12"/>
      <c r="P54" s="12"/>
      <c r="Q54" s="12"/>
      <c r="R54" s="12"/>
      <c r="S54" s="12"/>
      <c r="T54" s="12"/>
      <c r="V54" s="12"/>
      <c r="W54" s="12"/>
      <c r="X54" s="12"/>
      <c r="Y54" s="12"/>
      <c r="Z54" s="12"/>
      <c r="AA54" s="12"/>
      <c r="AB54" s="12"/>
      <c r="AD54" s="12"/>
      <c r="AE54" s="12"/>
      <c r="AF54" s="12"/>
      <c r="AH54" s="12"/>
      <c r="AI54" s="12"/>
      <c r="AJ54" s="12"/>
    </row>
    <row r="55" spans="1:36" ht="15" x14ac:dyDescent="0.4">
      <c r="A55" s="9" t="s">
        <v>40</v>
      </c>
      <c r="B55" s="22"/>
      <c r="C55" s="12"/>
      <c r="D55" s="22">
        <f>IF(D54&gt;0,ROUND(100*D52/D54,1),0)</f>
        <v>0</v>
      </c>
      <c r="E55" s="9" t="s">
        <v>41</v>
      </c>
      <c r="F55" s="40">
        <f>IF(F54&gt;0,F52/F54,)</f>
        <v>0</v>
      </c>
      <c r="G55" s="40">
        <f>IF(G54&gt;0,G52/G54,)</f>
        <v>0</v>
      </c>
      <c r="H55" s="12"/>
      <c r="I55" s="12"/>
      <c r="J55" s="15"/>
      <c r="K55" s="12"/>
      <c r="L55" s="12"/>
      <c r="M55" s="12"/>
      <c r="N55" s="12"/>
      <c r="O55" s="12"/>
      <c r="P55" s="12"/>
      <c r="Q55" s="12"/>
      <c r="R55" s="12"/>
      <c r="S55" s="12"/>
      <c r="T55" s="12"/>
      <c r="V55" s="12"/>
      <c r="W55" s="12"/>
      <c r="X55" s="12"/>
      <c r="Y55" s="12"/>
      <c r="Z55" s="12"/>
      <c r="AA55" s="12"/>
      <c r="AB55" s="12"/>
      <c r="AD55" s="12"/>
      <c r="AE55" s="12"/>
      <c r="AF55" s="12"/>
      <c r="AH55" s="12"/>
      <c r="AI55" s="12"/>
      <c r="AJ55" s="12"/>
    </row>
    <row r="56" spans="1:36" x14ac:dyDescent="0.35">
      <c r="I56" s="12"/>
      <c r="J56" s="15" t="s">
        <v>190</v>
      </c>
      <c r="K56" s="12">
        <f>+C47+G47+K47+O47+S47+W47+AA47+AE47+AI47</f>
        <v>0</v>
      </c>
    </row>
    <row r="57" spans="1:36" x14ac:dyDescent="0.35">
      <c r="B57" s="25" t="s">
        <v>188</v>
      </c>
      <c r="D57" s="63" t="str">
        <f>IF(D55&gt;100,"Percentage outside range - must be a data problem",IF(D55&lt;0,"Percentage outside range - must be a data problem",""))</f>
        <v/>
      </c>
    </row>
    <row r="58" spans="1:36" x14ac:dyDescent="0.35">
      <c r="B58" s="25" t="s">
        <v>254</v>
      </c>
      <c r="D58" s="52" t="str">
        <f>IF((D52+D53)=K53,"Total OK","Totals don't agree - therefore percentage maybe wrong")</f>
        <v>Total OK</v>
      </c>
    </row>
    <row r="59" spans="1:36" x14ac:dyDescent="0.35">
      <c r="B59" s="25"/>
    </row>
    <row r="60" spans="1:36" x14ac:dyDescent="0.35">
      <c r="B60" t="s">
        <v>108</v>
      </c>
      <c r="D60">
        <f>IF($D$54&gt;0,ROUND(100*D48/$D$54,1),0)</f>
        <v>0</v>
      </c>
      <c r="F60">
        <f>IF(D60=MAX($D$60:$D$63),1,0)</f>
        <v>1</v>
      </c>
      <c r="G60">
        <f>IF(F60&lt;&gt;0,D60+$D$65,D60)</f>
        <v>0</v>
      </c>
    </row>
    <row r="61" spans="1:36" x14ac:dyDescent="0.35">
      <c r="B61" t="s">
        <v>109</v>
      </c>
      <c r="D61">
        <f>IF($D$54&gt;0,ROUND(100*L48/$D$54,1),0)</f>
        <v>0</v>
      </c>
      <c r="F61">
        <f>IF(D61=MAX($D$60:$D$63),1,0)</f>
        <v>1</v>
      </c>
      <c r="G61">
        <f>IF(F61&lt;&gt;0,D61+$D$65,D61)</f>
        <v>0</v>
      </c>
    </row>
    <row r="62" spans="1:36" x14ac:dyDescent="0.35">
      <c r="B62" t="s">
        <v>181</v>
      </c>
      <c r="D62">
        <f>IF($D$54&gt;0,ROUND(100*T48/$D$54,1),0)</f>
        <v>0</v>
      </c>
      <c r="F62">
        <f>IF(D62=MAX($D$60:$D$63),1,0)</f>
        <v>1</v>
      </c>
      <c r="G62">
        <f>IF(F62&lt;&gt;0,D62+$D$65,D62)</f>
        <v>0</v>
      </c>
    </row>
    <row r="63" spans="1:36" x14ac:dyDescent="0.35">
      <c r="B63" t="s">
        <v>111</v>
      </c>
      <c r="D63">
        <f>IF($D$54&gt;0,ROUND(100*AB48/$D$54,1),0)</f>
        <v>0</v>
      </c>
      <c r="F63">
        <f>IF(D63=MAX($D$60:$D$63),1,0)</f>
        <v>1</v>
      </c>
      <c r="G63">
        <f>IF(F63&lt;&gt;0,D63+$D$65,D63)</f>
        <v>0</v>
      </c>
    </row>
    <row r="64" spans="1:36" x14ac:dyDescent="0.35">
      <c r="D64">
        <f>SUM(D60:D63)</f>
        <v>0</v>
      </c>
      <c r="G64">
        <f>SUM(G60:G63)</f>
        <v>0</v>
      </c>
    </row>
    <row r="65" spans="3:7" x14ac:dyDescent="0.35">
      <c r="C65" t="s">
        <v>222</v>
      </c>
      <c r="D65" s="74">
        <f>D55-D64</f>
        <v>0</v>
      </c>
      <c r="G65" s="74">
        <f>D55-G64</f>
        <v>0</v>
      </c>
    </row>
    <row r="66" spans="3:7" x14ac:dyDescent="0.35">
      <c r="F66" t="str">
        <f>IF(G65&lt;&gt;0,"Check individual percentages","")</f>
        <v/>
      </c>
    </row>
  </sheetData>
  <sheetProtection password="C7DC" sheet="1" objects="1" scenarios="1"/>
  <phoneticPr fontId="5"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workbookViewId="0">
      <selection sqref="A1:I1"/>
    </sheetView>
  </sheetViews>
  <sheetFormatPr defaultColWidth="9.1328125" defaultRowHeight="12.75" x14ac:dyDescent="0.35"/>
  <cols>
    <col min="1" max="1" width="7.1328125" style="26" customWidth="1"/>
    <col min="2" max="2" width="6.59765625" style="26" customWidth="1"/>
    <col min="3" max="3" width="7.73046875" style="26" customWidth="1"/>
    <col min="4" max="5" width="9.1328125" style="26"/>
    <col min="6" max="6" width="9.1328125" style="26" customWidth="1"/>
    <col min="7" max="7" width="12.1328125" style="26" bestFit="1" customWidth="1"/>
    <col min="8" max="8" width="11.3984375" style="26" customWidth="1"/>
    <col min="9" max="9" width="14.59765625" style="26" customWidth="1"/>
    <col min="10" max="16384" width="9.1328125" style="26"/>
  </cols>
  <sheetData>
    <row r="1" spans="1:9" ht="82.5" customHeight="1" x14ac:dyDescent="2.35">
      <c r="A1" s="220" t="s">
        <v>52</v>
      </c>
      <c r="B1" s="220"/>
      <c r="C1" s="219"/>
      <c r="D1" s="219"/>
      <c r="E1" s="219"/>
      <c r="F1" s="219"/>
      <c r="G1" s="219"/>
      <c r="H1" s="219"/>
      <c r="I1" s="219"/>
    </row>
    <row r="2" spans="1:9" ht="17.649999999999999" x14ac:dyDescent="0.5">
      <c r="A2" s="221" t="s">
        <v>53</v>
      </c>
      <c r="B2" s="221"/>
      <c r="C2" s="222"/>
      <c r="D2" s="222"/>
      <c r="E2" s="222"/>
      <c r="F2" s="222"/>
      <c r="G2" s="222"/>
      <c r="H2" s="222"/>
      <c r="I2" s="222"/>
    </row>
    <row r="3" spans="1:9" x14ac:dyDescent="0.35">
      <c r="A3" s="78"/>
      <c r="B3" s="78"/>
      <c r="C3" s="78"/>
      <c r="D3" s="78"/>
      <c r="E3" s="78"/>
      <c r="F3" s="78"/>
      <c r="G3" s="78"/>
      <c r="H3" s="78"/>
      <c r="I3" s="78"/>
    </row>
    <row r="4" spans="1:9" ht="13.15" x14ac:dyDescent="0.4">
      <c r="A4" s="209" t="s">
        <v>48</v>
      </c>
      <c r="B4" s="209"/>
      <c r="C4" s="209"/>
      <c r="D4" s="209"/>
      <c r="E4" s="209"/>
      <c r="F4" s="209"/>
      <c r="G4" s="209"/>
      <c r="H4" s="209"/>
      <c r="I4" s="209"/>
    </row>
    <row r="5" spans="1:9" ht="13.15" x14ac:dyDescent="0.4">
      <c r="A5" s="209" t="s">
        <v>61</v>
      </c>
      <c r="B5" s="209"/>
      <c r="C5" s="225"/>
      <c r="D5" s="225"/>
      <c r="E5" s="225"/>
      <c r="F5" s="225"/>
      <c r="G5" s="225"/>
      <c r="H5" s="225"/>
      <c r="I5" s="225"/>
    </row>
    <row r="6" spans="1:9" ht="13.15" x14ac:dyDescent="0.4">
      <c r="A6" s="209" t="str">
        <f>UPPER('Fund &amp; Member Details'!B21)</f>
        <v/>
      </c>
      <c r="B6" s="209"/>
      <c r="C6" s="225"/>
      <c r="D6" s="225"/>
      <c r="E6" s="225"/>
      <c r="F6" s="225"/>
      <c r="G6" s="225"/>
      <c r="H6" s="225"/>
      <c r="I6" s="225"/>
    </row>
    <row r="7" spans="1:9" ht="13.15" x14ac:dyDescent="0.4">
      <c r="A7" s="209" t="s">
        <v>340</v>
      </c>
      <c r="B7" s="210"/>
      <c r="C7" s="210"/>
      <c r="D7" s="210"/>
      <c r="E7" s="210"/>
      <c r="F7" s="210"/>
      <c r="G7" s="210"/>
      <c r="H7" s="210"/>
      <c r="I7" s="210"/>
    </row>
    <row r="8" spans="1:9" x14ac:dyDescent="0.35">
      <c r="A8" s="78"/>
      <c r="B8" s="78"/>
      <c r="C8" s="78"/>
      <c r="D8" s="78"/>
      <c r="E8" s="78"/>
      <c r="F8" s="78"/>
      <c r="G8" s="78"/>
      <c r="H8" s="78"/>
      <c r="I8" s="78"/>
    </row>
    <row r="9" spans="1:9" x14ac:dyDescent="0.35">
      <c r="A9" s="78" t="str">
        <f>CONCATENATE("To: ",Check!D5," (Trustee",Check!D3,")")</f>
        <v>To:  and  (Trustees)</v>
      </c>
      <c r="B9" s="78"/>
      <c r="C9" s="78"/>
      <c r="D9" s="78"/>
      <c r="E9" s="78"/>
      <c r="F9" s="78"/>
      <c r="G9" s="78"/>
      <c r="H9" s="78"/>
      <c r="I9" s="78"/>
    </row>
    <row r="10" spans="1:9" x14ac:dyDescent="0.35">
      <c r="A10" s="78"/>
      <c r="B10" s="78"/>
      <c r="C10" s="78"/>
      <c r="D10" s="78"/>
      <c r="E10" s="78"/>
      <c r="F10" s="78"/>
      <c r="G10" s="78"/>
      <c r="H10" s="78"/>
      <c r="I10" s="78"/>
    </row>
    <row r="11" spans="1:9" x14ac:dyDescent="0.35">
      <c r="A11" s="213" t="str">
        <f>CONCATENATE("I have been requested to prepare this certificate by ",Check!D6," on behalf of the Trustee",Check!D3," of the above fund.")</f>
        <v>I have been requested to prepare this certificate by  on behalf of the Trustees of the above fund.</v>
      </c>
      <c r="B11" s="213"/>
      <c r="C11" s="213"/>
      <c r="D11" s="213"/>
      <c r="E11" s="213"/>
      <c r="F11" s="213"/>
      <c r="G11" s="213"/>
      <c r="H11" s="213"/>
      <c r="I11" s="213"/>
    </row>
    <row r="12" spans="1:9" x14ac:dyDescent="0.35">
      <c r="A12" s="213"/>
      <c r="B12" s="213"/>
      <c r="C12" s="213"/>
      <c r="D12" s="213"/>
      <c r="E12" s="213"/>
      <c r="F12" s="213"/>
      <c r="G12" s="213"/>
      <c r="H12" s="213"/>
      <c r="I12" s="213"/>
    </row>
    <row r="13" spans="1:9" x14ac:dyDescent="0.35">
      <c r="A13" s="28"/>
      <c r="B13" s="28"/>
      <c r="C13" s="28"/>
      <c r="D13" s="28"/>
      <c r="E13" s="28"/>
      <c r="F13" s="28"/>
      <c r="G13" s="28"/>
      <c r="H13" s="28"/>
      <c r="I13" s="28"/>
    </row>
    <row r="14" spans="1:9" x14ac:dyDescent="0.35">
      <c r="A14" s="224" t="s">
        <v>325</v>
      </c>
      <c r="B14" s="214"/>
      <c r="C14" s="214"/>
      <c r="D14" s="214"/>
      <c r="E14" s="214"/>
      <c r="F14" s="214"/>
      <c r="G14" s="214"/>
      <c r="H14" s="214"/>
      <c r="I14" s="214"/>
    </row>
    <row r="15" spans="1:9" x14ac:dyDescent="0.35">
      <c r="A15" s="214"/>
      <c r="B15" s="214"/>
      <c r="C15" s="214"/>
      <c r="D15" s="214"/>
      <c r="E15" s="214"/>
      <c r="F15" s="214"/>
      <c r="G15" s="214"/>
      <c r="H15" s="214"/>
      <c r="I15" s="214"/>
    </row>
    <row r="16" spans="1:9" x14ac:dyDescent="0.35">
      <c r="A16" s="214"/>
      <c r="B16" s="214"/>
      <c r="C16" s="214"/>
      <c r="D16" s="214"/>
      <c r="E16" s="214"/>
      <c r="F16" s="214"/>
      <c r="G16" s="214"/>
      <c r="H16" s="214"/>
      <c r="I16" s="214"/>
    </row>
    <row r="17" spans="1:9" x14ac:dyDescent="0.35">
      <c r="A17" s="214"/>
      <c r="B17" s="214"/>
      <c r="C17" s="214"/>
      <c r="D17" s="214"/>
      <c r="E17" s="214"/>
      <c r="F17" s="214"/>
      <c r="G17" s="214"/>
      <c r="H17" s="214"/>
      <c r="I17" s="214"/>
    </row>
    <row r="18" spans="1:9" x14ac:dyDescent="0.35">
      <c r="A18" s="28"/>
      <c r="B18" s="28"/>
      <c r="C18" s="28"/>
      <c r="D18" s="28"/>
      <c r="E18" s="28"/>
      <c r="F18" s="28"/>
      <c r="G18" s="28"/>
      <c r="H18" s="28"/>
      <c r="I18" s="28"/>
    </row>
    <row r="19" spans="1:9" x14ac:dyDescent="0.35">
      <c r="A19" s="213" t="str">
        <f>CONCATENATE(Check!B15,"  ",Check!B18,"The value of unsegregated superannuation liabilities is taken to be the account balances of members at the relevant date.  The value of pension liabilities is taken to be the account balances of members in receipt of pensions at the relevant date.")</f>
        <v>The certificate is based on Fund data supplied and the fact that the pensioner concerned is being paid a prescribed (account-based, allocated and/or market-linked) pension which, in any one tax year, must remain between the legislated minima and maxima.  The value of unsegregated superannuation liabilities is taken to be the account balances of members at the relevant date.  The value of pension liabilities is taken to be the account balances of members in receipt of pensions at the relevant date.</v>
      </c>
      <c r="B19" s="215"/>
      <c r="C19" s="215"/>
      <c r="D19" s="215"/>
      <c r="E19" s="215"/>
      <c r="F19" s="215"/>
      <c r="G19" s="215"/>
      <c r="H19" s="215"/>
      <c r="I19" s="215"/>
    </row>
    <row r="20" spans="1:9" x14ac:dyDescent="0.35">
      <c r="A20" s="215"/>
      <c r="B20" s="215"/>
      <c r="C20" s="215"/>
      <c r="D20" s="215"/>
      <c r="E20" s="215"/>
      <c r="F20" s="215"/>
      <c r="G20" s="215"/>
      <c r="H20" s="215"/>
      <c r="I20" s="215"/>
    </row>
    <row r="21" spans="1:9" x14ac:dyDescent="0.35">
      <c r="A21" s="215"/>
      <c r="B21" s="215"/>
      <c r="C21" s="215"/>
      <c r="D21" s="215"/>
      <c r="E21" s="215"/>
      <c r="F21" s="215"/>
      <c r="G21" s="215"/>
      <c r="H21" s="215"/>
      <c r="I21" s="215"/>
    </row>
    <row r="22" spans="1:9" x14ac:dyDescent="0.35">
      <c r="A22" s="215"/>
      <c r="B22" s="215"/>
      <c r="C22" s="215"/>
      <c r="D22" s="215"/>
      <c r="E22" s="215"/>
      <c r="F22" s="215"/>
      <c r="G22" s="215"/>
      <c r="H22" s="215"/>
      <c r="I22" s="215"/>
    </row>
    <row r="23" spans="1:9" x14ac:dyDescent="0.35">
      <c r="A23" s="215"/>
      <c r="B23" s="215"/>
      <c r="C23" s="215"/>
      <c r="D23" s="215"/>
      <c r="E23" s="215"/>
      <c r="F23" s="215"/>
      <c r="G23" s="215"/>
      <c r="H23" s="215"/>
      <c r="I23" s="215"/>
    </row>
    <row r="24" spans="1:9" x14ac:dyDescent="0.35">
      <c r="A24" s="177"/>
      <c r="B24" s="177"/>
      <c r="C24" s="177"/>
      <c r="D24" s="177"/>
      <c r="E24" s="177"/>
      <c r="F24" s="177"/>
      <c r="G24" s="177"/>
      <c r="H24" s="177"/>
      <c r="I24" s="177"/>
    </row>
    <row r="25" spans="1:9" x14ac:dyDescent="0.35">
      <c r="A25" s="213" t="s">
        <v>341</v>
      </c>
      <c r="B25" s="213"/>
      <c r="C25" s="213"/>
      <c r="D25" s="213"/>
      <c r="E25" s="213"/>
      <c r="F25" s="213"/>
      <c r="G25" s="213"/>
      <c r="H25" s="213"/>
      <c r="I25" s="213"/>
    </row>
    <row r="26" spans="1:9" x14ac:dyDescent="0.35">
      <c r="A26" s="213"/>
      <c r="B26" s="213"/>
      <c r="C26" s="213"/>
      <c r="D26" s="213"/>
      <c r="E26" s="213"/>
      <c r="F26" s="213"/>
      <c r="G26" s="213"/>
      <c r="H26" s="213"/>
      <c r="I26" s="213"/>
    </row>
    <row r="27" spans="1:9" x14ac:dyDescent="0.35">
      <c r="A27" s="78"/>
      <c r="B27" s="78"/>
      <c r="C27" s="78"/>
      <c r="D27" s="78"/>
      <c r="E27" s="78"/>
      <c r="F27" s="78"/>
      <c r="G27" s="78"/>
      <c r="H27" s="78"/>
      <c r="I27" s="78"/>
    </row>
    <row r="28" spans="1:9" x14ac:dyDescent="0.35">
      <c r="A28" s="78"/>
      <c r="B28" s="78"/>
      <c r="C28" s="78" t="s">
        <v>45</v>
      </c>
      <c r="D28" s="78"/>
      <c r="E28" s="78"/>
      <c r="F28" s="78"/>
      <c r="G28" s="142">
        <f>'Percentage Calc'!D52</f>
        <v>0</v>
      </c>
      <c r="H28" s="78"/>
      <c r="I28" s="78"/>
    </row>
    <row r="29" spans="1:9" x14ac:dyDescent="0.35">
      <c r="A29" s="78"/>
      <c r="B29" s="78"/>
      <c r="C29" s="78" t="s">
        <v>46</v>
      </c>
      <c r="D29" s="78"/>
      <c r="E29" s="78"/>
      <c r="F29" s="78"/>
      <c r="G29" s="143">
        <f>'Percentage Calc'!D53</f>
        <v>0</v>
      </c>
      <c r="H29" s="78"/>
      <c r="I29" s="78"/>
    </row>
    <row r="30" spans="1:9" x14ac:dyDescent="0.35">
      <c r="A30" s="78"/>
      <c r="B30" s="78"/>
      <c r="C30" s="78" t="s">
        <v>47</v>
      </c>
      <c r="D30" s="78"/>
      <c r="E30" s="78"/>
      <c r="F30" s="78"/>
      <c r="G30" s="142">
        <f>'Percentage Calc'!D54</f>
        <v>0</v>
      </c>
      <c r="H30" s="78"/>
      <c r="I30" s="78"/>
    </row>
    <row r="31" spans="1:9" x14ac:dyDescent="0.35">
      <c r="A31" s="78"/>
      <c r="B31" s="78"/>
      <c r="C31" s="78"/>
      <c r="D31" s="78"/>
      <c r="E31" s="78"/>
      <c r="F31" s="78"/>
      <c r="G31" s="78"/>
      <c r="H31" s="78"/>
      <c r="I31" s="78"/>
    </row>
    <row r="32" spans="1:9" x14ac:dyDescent="0.35">
      <c r="A32" s="213" t="str">
        <f>Check!B21</f>
        <v>There were no segregated current pension assets and no segregated non-current pension assets held at any time during the year.</v>
      </c>
      <c r="B32" s="213"/>
      <c r="C32" s="213"/>
      <c r="D32" s="213"/>
      <c r="E32" s="213"/>
      <c r="F32" s="213"/>
      <c r="G32" s="213"/>
      <c r="H32" s="213"/>
      <c r="I32" s="213"/>
    </row>
    <row r="33" spans="1:9" x14ac:dyDescent="0.35">
      <c r="A33" s="213"/>
      <c r="B33" s="213"/>
      <c r="C33" s="213"/>
      <c r="D33" s="213"/>
      <c r="E33" s="213"/>
      <c r="F33" s="213"/>
      <c r="G33" s="213"/>
      <c r="H33" s="213"/>
      <c r="I33" s="213"/>
    </row>
    <row r="34" spans="1:9" x14ac:dyDescent="0.35">
      <c r="A34" s="78"/>
      <c r="B34" s="78"/>
      <c r="C34" s="78"/>
      <c r="D34" s="78"/>
      <c r="E34" s="78"/>
      <c r="F34" s="78"/>
      <c r="G34" s="78"/>
      <c r="H34" s="78"/>
      <c r="I34" s="78"/>
    </row>
    <row r="35" spans="1:9" x14ac:dyDescent="0.35">
      <c r="A35" s="224" t="str">
        <f>IF('Fund &amp; Member Details'!B30&lt;&gt;"Y",Check!A64,Check!A65)</f>
        <v>I am satisfied that the value at 30 June, 2017 of the Fund's assets at that date, together with the future contributions in respect of the superannuation benefits concerned, if accumulated after that date at the rate of the Fund's earnings on assets (other than segregated assets), would provide the amount required to meet in full the liabilities as they fall due.  No specific assumption has been made regarding rates of return on the Fund's assets nor has any assumption regarding pension increase rates been made.</v>
      </c>
      <c r="B35" s="214"/>
      <c r="C35" s="214"/>
      <c r="D35" s="214"/>
      <c r="E35" s="214"/>
      <c r="F35" s="214"/>
      <c r="G35" s="214"/>
      <c r="H35" s="214"/>
      <c r="I35" s="214"/>
    </row>
    <row r="36" spans="1:9" x14ac:dyDescent="0.35">
      <c r="A36" s="214"/>
      <c r="B36" s="214"/>
      <c r="C36" s="214"/>
      <c r="D36" s="214"/>
      <c r="E36" s="214"/>
      <c r="F36" s="214"/>
      <c r="G36" s="214"/>
      <c r="H36" s="214"/>
      <c r="I36" s="214"/>
    </row>
    <row r="37" spans="1:9" x14ac:dyDescent="0.35">
      <c r="A37" s="214"/>
      <c r="B37" s="214"/>
      <c r="C37" s="214"/>
      <c r="D37" s="214"/>
      <c r="E37" s="214"/>
      <c r="F37" s="214"/>
      <c r="G37" s="214"/>
      <c r="H37" s="214"/>
      <c r="I37" s="214"/>
    </row>
    <row r="38" spans="1:9" x14ac:dyDescent="0.35">
      <c r="A38" s="214"/>
      <c r="B38" s="214"/>
      <c r="C38" s="214"/>
      <c r="D38" s="214"/>
      <c r="E38" s="214"/>
      <c r="F38" s="214"/>
      <c r="G38" s="214"/>
      <c r="H38" s="214"/>
      <c r="I38" s="214"/>
    </row>
    <row r="39" spans="1:9" x14ac:dyDescent="0.35">
      <c r="A39" s="214"/>
      <c r="B39" s="214"/>
      <c r="C39" s="214"/>
      <c r="D39" s="214"/>
      <c r="E39" s="214"/>
      <c r="F39" s="214"/>
      <c r="G39" s="214"/>
      <c r="H39" s="214"/>
      <c r="I39" s="214"/>
    </row>
    <row r="40" spans="1:9" x14ac:dyDescent="0.35">
      <c r="A40" s="64"/>
      <c r="B40" s="64"/>
      <c r="C40" s="64"/>
      <c r="D40" s="64"/>
      <c r="E40" s="64"/>
      <c r="F40" s="64"/>
      <c r="G40" s="64"/>
      <c r="H40" s="64"/>
      <c r="I40" s="64"/>
    </row>
    <row r="41" spans="1:9" x14ac:dyDescent="0.35">
      <c r="A41" s="78" t="s">
        <v>342</v>
      </c>
      <c r="B41" s="78"/>
      <c r="C41" s="78"/>
      <c r="D41" s="78"/>
      <c r="E41" s="78"/>
      <c r="F41" s="78"/>
      <c r="G41" s="78"/>
      <c r="H41" s="78"/>
      <c r="I41" s="78"/>
    </row>
    <row r="42" spans="1:9" x14ac:dyDescent="0.35">
      <c r="A42" s="78"/>
      <c r="B42" s="78"/>
      <c r="C42" s="78"/>
      <c r="D42" s="78"/>
      <c r="E42" s="78"/>
      <c r="F42" s="78"/>
      <c r="G42" s="78"/>
      <c r="H42" s="78"/>
      <c r="I42" s="78"/>
    </row>
    <row r="43" spans="1:9" ht="13.15" x14ac:dyDescent="0.4">
      <c r="A43" s="78"/>
      <c r="B43" s="144" t="str">
        <f>CONCATENATE("Average value of unsegregated pension liabilities                                           ")</f>
        <v xml:space="preserve">Average value of unsegregated pension liabilities                                           </v>
      </c>
      <c r="C43" s="145"/>
      <c r="D43" s="145"/>
      <c r="E43" s="145"/>
      <c r="F43" s="145"/>
      <c r="G43" s="145"/>
      <c r="H43" s="146">
        <f>G28</f>
        <v>0</v>
      </c>
      <c r="I43" s="147"/>
    </row>
    <row r="44" spans="1:9" ht="13.15" x14ac:dyDescent="0.4">
      <c r="A44" s="78"/>
      <c r="B44" s="144" t="str">
        <f>CONCATENATE("Average value of unsegregated superannuation liabilities ")</f>
        <v xml:space="preserve">Average value of unsegregated superannuation liabilities </v>
      </c>
      <c r="C44" s="145"/>
      <c r="D44" s="145"/>
      <c r="E44" s="145"/>
      <c r="F44" s="145"/>
      <c r="G44" s="145"/>
      <c r="H44" s="148">
        <f>G30</f>
        <v>0</v>
      </c>
      <c r="I44" s="149" t="str">
        <f>CONCATENATE("=  ",'Percentage Calc'!D55,"%")</f>
        <v>=  0%</v>
      </c>
    </row>
    <row r="45" spans="1:9" x14ac:dyDescent="0.35">
      <c r="A45" s="78"/>
      <c r="B45" s="78"/>
      <c r="C45" s="78"/>
      <c r="D45" s="78"/>
      <c r="E45" s="78"/>
      <c r="F45" s="78"/>
      <c r="G45" s="78"/>
      <c r="H45" s="78"/>
      <c r="I45" s="78"/>
    </row>
    <row r="46" spans="1:9" x14ac:dyDescent="0.35">
      <c r="A46" s="78"/>
      <c r="B46" s="78"/>
      <c r="C46" s="78"/>
      <c r="D46" s="78"/>
      <c r="E46" s="78"/>
      <c r="F46" s="78"/>
      <c r="G46" s="78"/>
      <c r="H46" s="78"/>
      <c r="I46" s="78"/>
    </row>
    <row r="47" spans="1:9" x14ac:dyDescent="0.35">
      <c r="A47" s="78"/>
      <c r="B47" s="78"/>
      <c r="C47" s="78"/>
      <c r="D47" s="78"/>
      <c r="E47" s="78"/>
      <c r="F47" s="78"/>
      <c r="G47" s="78"/>
      <c r="H47" s="78"/>
      <c r="I47" s="78"/>
    </row>
    <row r="48" spans="1:9" x14ac:dyDescent="0.35">
      <c r="A48" s="78"/>
      <c r="B48" s="78"/>
      <c r="C48" s="78"/>
      <c r="D48" s="78"/>
      <c r="E48" s="78"/>
      <c r="F48" s="78"/>
      <c r="G48" s="78"/>
      <c r="H48" s="78"/>
      <c r="I48" s="78"/>
    </row>
    <row r="49" spans="1:9" x14ac:dyDescent="0.35">
      <c r="A49" s="78"/>
      <c r="B49" s="78"/>
      <c r="C49" s="78"/>
      <c r="D49" s="78"/>
      <c r="E49" s="78"/>
      <c r="F49" s="78"/>
      <c r="G49" s="78"/>
      <c r="H49" s="78"/>
      <c r="I49" s="78"/>
    </row>
    <row r="50" spans="1:9" x14ac:dyDescent="0.35">
      <c r="A50" s="78"/>
      <c r="B50" s="78"/>
      <c r="C50" s="78"/>
      <c r="D50" s="78"/>
      <c r="E50" s="78"/>
      <c r="F50" s="78"/>
      <c r="G50" s="78"/>
      <c r="H50" s="78"/>
      <c r="I50" s="78"/>
    </row>
    <row r="51" spans="1:9" x14ac:dyDescent="0.35">
      <c r="A51" s="78" t="s">
        <v>49</v>
      </c>
      <c r="B51" s="78"/>
      <c r="C51" s="78"/>
      <c r="D51" s="78"/>
      <c r="E51" s="78"/>
      <c r="F51" s="78"/>
      <c r="G51" s="78"/>
      <c r="H51" s="78"/>
      <c r="I51" s="78"/>
    </row>
    <row r="52" spans="1:9" x14ac:dyDescent="0.35">
      <c r="A52" s="78" t="s">
        <v>50</v>
      </c>
      <c r="B52" s="78"/>
      <c r="C52" s="78"/>
      <c r="D52" s="78"/>
      <c r="E52" s="78"/>
      <c r="F52" s="78"/>
      <c r="G52" s="78"/>
      <c r="H52" s="78"/>
      <c r="I52" s="78"/>
    </row>
    <row r="53" spans="1:9" x14ac:dyDescent="0.35">
      <c r="A53" s="226">
        <f>Check!D7</f>
        <v>42917</v>
      </c>
      <c r="B53" s="226"/>
      <c r="C53" s="219"/>
      <c r="D53" s="78"/>
      <c r="E53" s="78"/>
      <c r="F53" s="78"/>
      <c r="G53" s="78"/>
      <c r="H53" s="78"/>
      <c r="I53" s="78"/>
    </row>
    <row r="54" spans="1:9" x14ac:dyDescent="0.35">
      <c r="A54" s="150"/>
      <c r="B54" s="150"/>
      <c r="C54" s="78"/>
      <c r="D54" s="78"/>
      <c r="E54" s="78"/>
      <c r="F54" s="78"/>
      <c r="G54" s="78"/>
      <c r="H54" s="78"/>
      <c r="I54" s="78"/>
    </row>
    <row r="55" spans="1:9" x14ac:dyDescent="0.35">
      <c r="A55" s="150"/>
      <c r="B55" s="150"/>
      <c r="C55" s="78"/>
      <c r="D55" s="78"/>
      <c r="E55" s="78"/>
      <c r="F55" s="78"/>
      <c r="G55" s="78"/>
      <c r="H55" s="78"/>
      <c r="I55" s="78"/>
    </row>
    <row r="56" spans="1:9" x14ac:dyDescent="0.35">
      <c r="A56" s="223" t="s">
        <v>58</v>
      </c>
      <c r="B56" s="223"/>
      <c r="C56" s="219"/>
      <c r="D56" s="219"/>
      <c r="E56" s="219"/>
      <c r="F56" s="219"/>
      <c r="G56" s="219"/>
      <c r="H56" s="219"/>
      <c r="I56" s="219"/>
    </row>
    <row r="57" spans="1:9" x14ac:dyDescent="0.35">
      <c r="A57" s="223" t="s">
        <v>62</v>
      </c>
      <c r="B57" s="223"/>
      <c r="C57" s="219"/>
      <c r="D57" s="219"/>
      <c r="E57" s="219"/>
      <c r="F57" s="219"/>
      <c r="G57" s="219"/>
      <c r="H57" s="219"/>
      <c r="I57" s="219"/>
    </row>
    <row r="58" spans="1:9" x14ac:dyDescent="0.35">
      <c r="A58" s="223" t="s">
        <v>55</v>
      </c>
      <c r="B58" s="223"/>
      <c r="C58" s="219"/>
      <c r="D58" s="219"/>
      <c r="E58" s="219"/>
      <c r="F58" s="219"/>
      <c r="G58" s="219"/>
      <c r="H58" s="219"/>
      <c r="I58" s="219"/>
    </row>
    <row r="59" spans="1:9" x14ac:dyDescent="0.35">
      <c r="A59" s="151"/>
      <c r="B59" s="151"/>
      <c r="C59" s="141"/>
      <c r="D59" s="141"/>
      <c r="E59" s="141"/>
      <c r="F59" s="141"/>
      <c r="G59" s="141"/>
      <c r="H59" s="141"/>
      <c r="I59" s="141"/>
    </row>
    <row r="60" spans="1:9" x14ac:dyDescent="0.35">
      <c r="A60" s="151"/>
      <c r="B60" s="151"/>
      <c r="C60" s="141"/>
      <c r="D60" s="141"/>
      <c r="E60" s="141"/>
      <c r="F60" s="141"/>
      <c r="G60" s="141"/>
      <c r="H60" s="141"/>
      <c r="I60" s="141"/>
    </row>
    <row r="61" spans="1:9" x14ac:dyDescent="0.35">
      <c r="A61" s="151"/>
      <c r="B61" s="151"/>
      <c r="C61" s="141"/>
      <c r="D61" s="141"/>
      <c r="E61" s="141"/>
      <c r="F61" s="141"/>
      <c r="G61" s="141"/>
      <c r="H61" s="141"/>
      <c r="I61" s="141"/>
    </row>
    <row r="62" spans="1:9" ht="13.15" x14ac:dyDescent="0.35">
      <c r="A62" s="216" t="s">
        <v>244</v>
      </c>
      <c r="B62" s="217"/>
      <c r="C62" s="217"/>
      <c r="D62" s="217"/>
      <c r="E62" s="217"/>
      <c r="F62" s="217"/>
      <c r="G62" s="217"/>
      <c r="H62" s="217"/>
      <c r="I62" s="217"/>
    </row>
    <row r="63" spans="1:9" ht="13.15" x14ac:dyDescent="0.35">
      <c r="A63" s="216" t="s">
        <v>245</v>
      </c>
      <c r="B63" s="217"/>
      <c r="C63" s="217"/>
      <c r="D63" s="217"/>
      <c r="E63" s="217"/>
      <c r="F63" s="217"/>
      <c r="G63" s="217"/>
      <c r="H63" s="217"/>
      <c r="I63" s="217"/>
    </row>
    <row r="64" spans="1:9" ht="13.15" x14ac:dyDescent="0.4">
      <c r="A64" s="209" t="s">
        <v>340</v>
      </c>
      <c r="B64" s="210"/>
      <c r="C64" s="210"/>
      <c r="D64" s="210"/>
      <c r="E64" s="210"/>
      <c r="F64" s="210"/>
      <c r="G64" s="210"/>
      <c r="H64" s="210"/>
      <c r="I64" s="210"/>
    </row>
    <row r="66" spans="1:9" ht="13.15" x14ac:dyDescent="0.4">
      <c r="A66" s="209" t="str">
        <f>UPPER('Fund &amp; Member Details'!B21)</f>
        <v/>
      </c>
      <c r="B66" s="210"/>
      <c r="C66" s="210"/>
      <c r="D66" s="210"/>
      <c r="E66" s="210"/>
      <c r="F66" s="210"/>
      <c r="G66" s="210"/>
      <c r="H66" s="210"/>
      <c r="I66" s="210"/>
    </row>
    <row r="68" spans="1:9" x14ac:dyDescent="0.35">
      <c r="A68" s="78" t="s">
        <v>247</v>
      </c>
      <c r="C68" s="26" t="str">
        <f>Check!D6</f>
        <v/>
      </c>
    </row>
    <row r="69" spans="1:9" x14ac:dyDescent="0.35">
      <c r="A69" s="78"/>
      <c r="C69" s="26" t="str">
        <f>IF('Fund &amp; Member Details'!B18&lt;&gt;"",'Fund &amp; Member Details'!B18,"")</f>
        <v/>
      </c>
    </row>
    <row r="71" spans="1:9" x14ac:dyDescent="0.35">
      <c r="A71" s="218" t="str">
        <f>CONCATENATE("Trustee",Check!D3,":")</f>
        <v>Trustees:</v>
      </c>
      <c r="B71" s="219"/>
      <c r="C71" s="26" t="str">
        <f>Check!D5</f>
        <v xml:space="preserve"> and </v>
      </c>
    </row>
    <row r="73" spans="1:9" x14ac:dyDescent="0.35">
      <c r="A73" s="78" t="s">
        <v>262</v>
      </c>
    </row>
    <row r="75" spans="1:9" x14ac:dyDescent="0.35">
      <c r="A75" s="78"/>
      <c r="B75" s="78" t="s">
        <v>343</v>
      </c>
      <c r="H75" s="152">
        <f>ROUND('Fund &amp; Member Details'!B29,0)</f>
        <v>0</v>
      </c>
    </row>
    <row r="76" spans="1:9" x14ac:dyDescent="0.35">
      <c r="A76" s="78"/>
      <c r="B76" s="153" t="s">
        <v>239</v>
      </c>
    </row>
    <row r="77" spans="1:9" x14ac:dyDescent="0.35">
      <c r="A77" s="78"/>
      <c r="B77" s="78" t="s">
        <v>248</v>
      </c>
      <c r="F77" s="154"/>
      <c r="G77" s="152">
        <f>ROUND('Fund &amp; Member Details'!G59,0)</f>
        <v>0</v>
      </c>
    </row>
    <row r="78" spans="1:9" x14ac:dyDescent="0.35">
      <c r="A78" s="78"/>
      <c r="B78" s="78" t="s">
        <v>240</v>
      </c>
      <c r="F78" s="154"/>
      <c r="G78" s="152">
        <f>ROUND('Fund &amp; Member Details'!G47,0)</f>
        <v>0</v>
      </c>
    </row>
    <row r="80" spans="1:9" x14ac:dyDescent="0.35">
      <c r="A80" s="78"/>
      <c r="B80" s="78" t="s">
        <v>241</v>
      </c>
    </row>
    <row r="81" spans="1:9" x14ac:dyDescent="0.35">
      <c r="A81" s="155"/>
      <c r="B81" s="155" t="s">
        <v>74</v>
      </c>
      <c r="H81" s="152">
        <f>ROUND('Fund &amp; Member Details'!G60,0)</f>
        <v>0</v>
      </c>
    </row>
    <row r="82" spans="1:9" x14ac:dyDescent="0.35">
      <c r="A82" s="155"/>
      <c r="B82" s="155" t="s">
        <v>196</v>
      </c>
      <c r="H82" s="152">
        <f>ROUND('Fund &amp; Member Details'!G49+'Fund &amp; Member Details'!G61,0)</f>
        <v>0</v>
      </c>
    </row>
    <row r="83" spans="1:9" x14ac:dyDescent="0.35">
      <c r="A83" s="155"/>
      <c r="B83" s="155" t="s">
        <v>195</v>
      </c>
      <c r="H83" s="152">
        <f>ROUND('Fund &amp; Member Details'!G50+'Fund &amp; Member Details'!G62,0)</f>
        <v>0</v>
      </c>
    </row>
    <row r="84" spans="1:9" x14ac:dyDescent="0.35">
      <c r="A84" s="155"/>
      <c r="B84" s="155" t="s">
        <v>75</v>
      </c>
      <c r="H84" s="152">
        <f>ROUND('Fund &amp; Member Details'!G51+'Fund &amp; Member Details'!G63,)</f>
        <v>0</v>
      </c>
    </row>
    <row r="85" spans="1:9" x14ac:dyDescent="0.35">
      <c r="A85" s="156"/>
      <c r="B85" s="156" t="s">
        <v>76</v>
      </c>
      <c r="H85" s="152">
        <f>ROUND('Fund &amp; Member Details'!G48,0)</f>
        <v>0</v>
      </c>
    </row>
    <row r="87" spans="1:9" x14ac:dyDescent="0.35">
      <c r="A87" s="78"/>
      <c r="B87" s="78" t="s">
        <v>344</v>
      </c>
      <c r="H87" s="152">
        <f>ROUND('Fund &amp; Member Details'!G73,0)</f>
        <v>0</v>
      </c>
    </row>
    <row r="88" spans="1:9" x14ac:dyDescent="0.35">
      <c r="A88" s="78"/>
      <c r="B88" s="153" t="s">
        <v>239</v>
      </c>
    </row>
    <row r="89" spans="1:9" x14ac:dyDescent="0.35">
      <c r="A89" s="78"/>
      <c r="B89" s="78" t="s">
        <v>248</v>
      </c>
      <c r="G89" s="152">
        <f>ROUND('Fund &amp; Member Details'!G64,0)</f>
        <v>0</v>
      </c>
    </row>
    <row r="90" spans="1:9" x14ac:dyDescent="0.35">
      <c r="A90" s="78"/>
      <c r="B90" s="78" t="s">
        <v>240</v>
      </c>
      <c r="G90" s="152">
        <f>ROUND('Fund &amp; Member Details'!G52,0)</f>
        <v>0</v>
      </c>
    </row>
    <row r="92" spans="1:9" x14ac:dyDescent="0.35">
      <c r="A92" s="78"/>
      <c r="B92" s="78" t="s">
        <v>242</v>
      </c>
    </row>
    <row r="93" spans="1:9" x14ac:dyDescent="0.35">
      <c r="A93" s="78"/>
      <c r="B93" s="78" t="s">
        <v>243</v>
      </c>
      <c r="G93" s="78"/>
    </row>
    <row r="95" spans="1:9" x14ac:dyDescent="0.35">
      <c r="B95" s="211" t="str">
        <f>Check!B21</f>
        <v>There were no segregated current pension assets and no segregated non-current pension assets held at any time during the year.</v>
      </c>
      <c r="C95" s="212"/>
      <c r="D95" s="212"/>
      <c r="E95" s="212"/>
      <c r="F95" s="212"/>
      <c r="G95" s="212"/>
      <c r="H95" s="212"/>
      <c r="I95" s="212"/>
    </row>
    <row r="96" spans="1:9" x14ac:dyDescent="0.35">
      <c r="B96" s="212"/>
      <c r="C96" s="212"/>
      <c r="D96" s="212"/>
      <c r="E96" s="212"/>
      <c r="F96" s="212"/>
      <c r="G96" s="212"/>
      <c r="H96" s="212"/>
      <c r="I96" s="212"/>
    </row>
    <row r="98" spans="1:9" x14ac:dyDescent="0.35">
      <c r="B98" s="78" t="str">
        <f>Check!B23</f>
        <v>There were no unallocated reserves during the year.</v>
      </c>
    </row>
    <row r="99" spans="1:9" x14ac:dyDescent="0.35">
      <c r="B99" s="78"/>
    </row>
    <row r="101" spans="1:9" x14ac:dyDescent="0.35">
      <c r="A101" s="78" t="str">
        <f>CONCATENATE(IF('Fund &amp; Member Details'!B13&lt;&gt;"",'Fund &amp; Member Details'!B13,'Fund &amp; Member Details'!B12)," confirms that:")</f>
        <v xml:space="preserve"> confirms that:</v>
      </c>
    </row>
    <row r="102" spans="1:9" x14ac:dyDescent="0.35">
      <c r="A102" s="78"/>
      <c r="B102" s="78" t="s">
        <v>298</v>
      </c>
    </row>
    <row r="103" spans="1:9" x14ac:dyDescent="0.35">
      <c r="A103" s="78"/>
      <c r="B103" s="78" t="str">
        <f>Check!C11</f>
        <v>(b) the pensions provided throughout the year met the payment standards under SIS.</v>
      </c>
    </row>
    <row r="105" spans="1:9" x14ac:dyDescent="0.35">
      <c r="A105" s="214" t="str">
        <f>IF(UPPER('Fund &amp; Member Details'!B32)&lt;&gt;"N",CONCATENATE("In addition, ",IF('Fund &amp; Member Details'!B13&lt;&gt;"",'Fund &amp; Member Details'!B13,'Fund &amp; Member Details'!B12)," confirms that despite not meeting the pension payment standards on a cash basis, the pension shortfall payment in respect of the 2017 year met the following conditions in relation to ATO general powers of administration:"),"")</f>
        <v/>
      </c>
      <c r="B105" s="215"/>
      <c r="C105" s="215"/>
      <c r="D105" s="215"/>
      <c r="E105" s="215"/>
      <c r="F105" s="215"/>
      <c r="G105" s="215"/>
      <c r="H105" s="215"/>
      <c r="I105" s="215"/>
    </row>
    <row r="106" spans="1:9" x14ac:dyDescent="0.35">
      <c r="A106" s="215"/>
      <c r="B106" s="215"/>
      <c r="C106" s="215"/>
      <c r="D106" s="215"/>
      <c r="E106" s="215"/>
      <c r="F106" s="215"/>
      <c r="G106" s="215"/>
      <c r="H106" s="215"/>
      <c r="I106" s="215"/>
    </row>
    <row r="107" spans="1:9" x14ac:dyDescent="0.35">
      <c r="A107" s="215"/>
      <c r="B107" s="215"/>
      <c r="C107" s="215"/>
      <c r="D107" s="215"/>
      <c r="E107" s="215"/>
      <c r="F107" s="215"/>
      <c r="G107" s="215"/>
      <c r="H107" s="215"/>
      <c r="I107" s="215"/>
    </row>
    <row r="108" spans="1:9" x14ac:dyDescent="0.35">
      <c r="A108" s="78"/>
      <c r="B108" s="26" t="str">
        <f>IF(UPPER('Fund &amp; Member Details'!B32)&lt;&gt;"N","(a) was the result of an honest mistake;","")</f>
        <v/>
      </c>
    </row>
    <row r="109" spans="1:9" x14ac:dyDescent="0.35">
      <c r="B109" s="26" t="str">
        <f>IF(UPPER('Fund &amp; Member Details'!B32)&lt;&gt;"N","(b) was less than 1/12th of the minimum annual payment;","")</f>
        <v/>
      </c>
    </row>
    <row r="110" spans="1:9" ht="13.15" x14ac:dyDescent="0.4">
      <c r="B110" s="26" t="str">
        <f>IF(UPPER('Fund &amp; Member Details'!B32)&lt;&gt;"N","(c) the Fund has always met the minimum payment conditions in the past; and","")</f>
        <v/>
      </c>
      <c r="F110" s="157"/>
    </row>
    <row r="111" spans="1:9" x14ac:dyDescent="0.35">
      <c r="B111" s="164" t="str">
        <f>IF(UPPER('Fund &amp; Member Details'!B32)&lt;&gt;"N","(d) the catchup payment was made as soon as practicable.","")</f>
        <v/>
      </c>
      <c r="F111" s="158"/>
      <c r="G111" s="78"/>
    </row>
    <row r="112" spans="1:9" x14ac:dyDescent="0.35">
      <c r="F112" s="158"/>
    </row>
    <row r="113" spans="1:9" x14ac:dyDescent="0.35">
      <c r="F113" s="158"/>
    </row>
    <row r="121" spans="1:9" x14ac:dyDescent="0.35">
      <c r="A121" s="207">
        <f>A53</f>
        <v>42917</v>
      </c>
      <c r="B121" s="208"/>
      <c r="C121" s="208"/>
    </row>
    <row r="122" spans="1:9" ht="17.649999999999999" x14ac:dyDescent="0.5">
      <c r="A122" s="161" t="s">
        <v>296</v>
      </c>
      <c r="B122" s="159"/>
      <c r="C122" s="159"/>
      <c r="D122" s="159"/>
      <c r="E122" s="159"/>
      <c r="F122" s="159"/>
      <c r="G122" s="159"/>
      <c r="H122" s="159"/>
      <c r="I122" s="160" t="s">
        <v>246</v>
      </c>
    </row>
  </sheetData>
  <sheetProtection password="C7DC" sheet="1" objects="1" scenarios="1"/>
  <mergeCells count="24">
    <mergeCell ref="A1:I1"/>
    <mergeCell ref="A2:I2"/>
    <mergeCell ref="A25:I26"/>
    <mergeCell ref="A7:I7"/>
    <mergeCell ref="A58:I58"/>
    <mergeCell ref="A4:I4"/>
    <mergeCell ref="A56:I56"/>
    <mergeCell ref="A35:I39"/>
    <mergeCell ref="A19:I23"/>
    <mergeCell ref="A5:I5"/>
    <mergeCell ref="A6:I6"/>
    <mergeCell ref="A14:I17"/>
    <mergeCell ref="A11:I12"/>
    <mergeCell ref="A57:I57"/>
    <mergeCell ref="A53:C53"/>
    <mergeCell ref="A121:C121"/>
    <mergeCell ref="A66:I66"/>
    <mergeCell ref="B95:I96"/>
    <mergeCell ref="A64:I64"/>
    <mergeCell ref="A32:I33"/>
    <mergeCell ref="A105:I107"/>
    <mergeCell ref="A62:I62"/>
    <mergeCell ref="A63:I63"/>
    <mergeCell ref="A71:B71"/>
  </mergeCells>
  <phoneticPr fontId="5" type="noConversion"/>
  <pageMargins left="0.74803149606299213" right="0.74803149606299213" top="0.31496062992125984" bottom="0.23622047244094488" header="0.15748031496062992"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0"/>
  <sheetViews>
    <sheetView zoomScaleNormal="100" workbookViewId="0">
      <selection activeCell="D7" sqref="D7"/>
    </sheetView>
  </sheetViews>
  <sheetFormatPr defaultRowHeight="12.75" x14ac:dyDescent="0.35"/>
  <cols>
    <col min="1" max="1" width="45.59765625" customWidth="1"/>
    <col min="4" max="4" width="23.265625" customWidth="1"/>
  </cols>
  <sheetData>
    <row r="1" spans="1:13" ht="15" x14ac:dyDescent="0.4">
      <c r="A1" s="138" t="s">
        <v>95</v>
      </c>
    </row>
    <row r="2" spans="1:13" ht="13.15" x14ac:dyDescent="0.4">
      <c r="A2" s="1" t="s">
        <v>97</v>
      </c>
    </row>
    <row r="3" spans="1:13" x14ac:dyDescent="0.35">
      <c r="A3" s="25" t="s">
        <v>96</v>
      </c>
      <c r="D3" s="52" t="str">
        <f>IF('Fund &amp; Member Details'!B22&lt;&gt;"","","s")</f>
        <v>s</v>
      </c>
      <c r="E3" s="25" t="s">
        <v>100</v>
      </c>
    </row>
    <row r="4" spans="1:13" x14ac:dyDescent="0.35">
      <c r="A4" s="25" t="s">
        <v>98</v>
      </c>
      <c r="D4" s="52" t="str">
        <f>IF('Fund &amp; Member Details'!B27&lt;&gt;"",CONCATENATE(PROPER('Fund &amp; Member Details'!B24), ", ",PROPER('Fund &amp; Member Details'!B25), ", ",PROPER('Fund &amp; Member Details'!B26), " and ",PROPER('Fund &amp; Member Details'!B27)),IF('Fund &amp; Member Details'!B26&lt;&gt;"",CONCATENATE(PROPER('Fund &amp; Member Details'!B24), ", ",PROPER('Fund &amp; Member Details'!B25), " and ",PROPER('Fund &amp; Member Details'!B26)),CONCATENATE(PROPER('Fund &amp; Member Details'!B24), " and ",PROPER('Fund &amp; Member Details'!B25))))</f>
        <v xml:space="preserve"> and </v>
      </c>
      <c r="J4" s="25" t="s">
        <v>103</v>
      </c>
    </row>
    <row r="5" spans="1:13" x14ac:dyDescent="0.35">
      <c r="A5" s="25" t="s">
        <v>99</v>
      </c>
      <c r="D5" s="179" t="str">
        <f>IF('Fund &amp; Member Details'!B22&lt;&gt;"",PROPER('Fund &amp; Member Details'!B22),Check!D4)</f>
        <v xml:space="preserve"> and </v>
      </c>
    </row>
    <row r="6" spans="1:13" x14ac:dyDescent="0.35">
      <c r="A6" s="25" t="s">
        <v>102</v>
      </c>
      <c r="D6" s="43" t="str">
        <f>CONCATENATE('Fund &amp; Member Details'!B12,IF('Fund &amp; Member Details'!B13&lt;&gt;""," of ",""),IF('Fund &amp; Member Details'!B13&lt;&gt;"",'Fund &amp; Member Details'!B13,""))</f>
        <v/>
      </c>
    </row>
    <row r="7" spans="1:13" ht="13.15" x14ac:dyDescent="0.4">
      <c r="A7" s="25" t="s">
        <v>51</v>
      </c>
      <c r="D7" s="178">
        <v>42917</v>
      </c>
      <c r="E7" s="44" t="str">
        <f ca="1">IF(D7&lt;TODAY(),"CHECK DATE","")</f>
        <v/>
      </c>
      <c r="F7" s="25"/>
      <c r="G7" s="25"/>
      <c r="H7" s="25" t="s">
        <v>104</v>
      </c>
    </row>
    <row r="8" spans="1:13" x14ac:dyDescent="0.35">
      <c r="A8" s="25" t="s">
        <v>54</v>
      </c>
      <c r="D8" s="25" t="str">
        <f>IF(L8&lt;2,"single pensioner","more than one pensioner")</f>
        <v>single pensioner</v>
      </c>
      <c r="E8" s="52" t="str">
        <f>IF(L8&lt;2,"is","are")</f>
        <v>is</v>
      </c>
      <c r="F8" s="52" t="str">
        <f>IF(L8&lt;2,"","s")</f>
        <v/>
      </c>
      <c r="G8" s="52"/>
      <c r="H8" s="25" t="s">
        <v>105</v>
      </c>
      <c r="L8" s="52">
        <f>COUNTIF('Fund &amp; Member Details'!B48:E48,"&lt;0")</f>
        <v>0</v>
      </c>
      <c r="M8" s="25" t="s">
        <v>315</v>
      </c>
    </row>
    <row r="9" spans="1:13" x14ac:dyDescent="0.35">
      <c r="A9" s="25" t="s">
        <v>253</v>
      </c>
      <c r="D9" s="176" t="str">
        <f>IF('Fund &amp; Member Details'!B30="Y","Terminated Client - Review End Book Values and Certificate Wording &amp; line spacing on the certificate'","OK")</f>
        <v>OK</v>
      </c>
      <c r="F9" s="25"/>
      <c r="G9" s="25"/>
      <c r="H9" s="25"/>
    </row>
    <row r="10" spans="1:13" x14ac:dyDescent="0.35">
      <c r="A10" s="25" t="s">
        <v>324</v>
      </c>
      <c r="D10" s="52" t="str">
        <f>IF(ISERROR(B35),"Error in data - send to PBA Super for checking",IF((B33+B34)&gt;0,"Data needs to reviewed by Actuary",""))</f>
        <v/>
      </c>
      <c r="F10" s="25"/>
      <c r="G10" s="25"/>
      <c r="H10" s="25" t="s">
        <v>327</v>
      </c>
    </row>
    <row r="11" spans="1:13" x14ac:dyDescent="0.35">
      <c r="A11" s="25" t="s">
        <v>266</v>
      </c>
      <c r="B11" s="165" t="str">
        <f>IF(UPPER('Fund &amp; Member Details'!B32)="N","Y","N")</f>
        <v>Y</v>
      </c>
      <c r="C11" s="43" t="str">
        <f>IF(UPPER(B11)="Y","(b) the pensions provided throughout the year met the payment standards under SIS.","(b) the pension provided throughout the year did not meet the payment standards under SIS.")</f>
        <v>(b) the pensions provided throughout the year met the payment standards under SIS.</v>
      </c>
      <c r="D11" s="165"/>
      <c r="E11" s="165"/>
      <c r="F11" s="165"/>
      <c r="G11" s="165"/>
      <c r="H11" s="165"/>
      <c r="I11" s="165"/>
    </row>
    <row r="12" spans="1:13" x14ac:dyDescent="0.35">
      <c r="A12" s="25" t="s">
        <v>301</v>
      </c>
      <c r="C12" s="176" t="str">
        <f>IF((B33+B34)&lt;1,'Percentage Calc'!D58,"Check Percentages")</f>
        <v>Total OK</v>
      </c>
      <c r="E12" s="26"/>
      <c r="F12" s="25"/>
      <c r="G12" s="25"/>
    </row>
    <row r="13" spans="1:13" x14ac:dyDescent="0.35">
      <c r="A13" s="25" t="s">
        <v>302</v>
      </c>
      <c r="C13" s="176" t="str">
        <f>IF(UPPER('Fund &amp; Member Details'!B32)&lt;&gt;"N","Shortfall Payment - requires checking and reformating of certificate by 2 lines x 2","OK")</f>
        <v>OK</v>
      </c>
      <c r="E13" s="26"/>
      <c r="F13" s="25"/>
      <c r="G13" s="25"/>
    </row>
    <row r="14" spans="1:13" x14ac:dyDescent="0.35">
      <c r="A14" s="176"/>
      <c r="B14" s="78"/>
      <c r="C14" s="176"/>
      <c r="E14" s="26"/>
      <c r="F14" s="25"/>
      <c r="G14" s="25"/>
    </row>
    <row r="15" spans="1:13" x14ac:dyDescent="0.35">
      <c r="A15" s="25" t="s">
        <v>316</v>
      </c>
      <c r="B15" s="228" t="str">
        <f>CONCATENATE("The certificate is based on Fund data supplied and the fact that the pensioner",F8," concerned ",E8," being paid ",IF(L8&lt;2,"a ",""),"prescribed (account-based, allocated and/or market-linked) pension",F8,IF(UPPER('Fund &amp; Member Details'!B32)="N"," which, in any one tax year, must remain between the legislated minima and maxima.","."))</f>
        <v>The certificate is based on Fund data supplied and the fact that the pensioner concerned is being paid a prescribed (account-based, allocated and/or market-linked) pension which, in any one tax year, must remain between the legislated minima and maxima.</v>
      </c>
      <c r="C15" s="185"/>
      <c r="D15" s="185"/>
      <c r="E15" s="185"/>
      <c r="F15" s="185"/>
      <c r="G15" s="185"/>
      <c r="H15" s="185"/>
      <c r="I15" s="185"/>
      <c r="J15" s="185"/>
      <c r="K15" s="185"/>
      <c r="L15" s="185"/>
    </row>
    <row r="16" spans="1:13" x14ac:dyDescent="0.35">
      <c r="A16" s="176"/>
      <c r="B16" s="185"/>
      <c r="C16" s="185"/>
      <c r="D16" s="185"/>
      <c r="E16" s="185"/>
      <c r="F16" s="185"/>
      <c r="G16" s="185"/>
      <c r="H16" s="185"/>
      <c r="I16" s="185"/>
      <c r="J16" s="185"/>
      <c r="K16" s="185"/>
      <c r="L16" s="185"/>
    </row>
    <row r="17" spans="1:12" x14ac:dyDescent="0.35">
      <c r="A17" s="176"/>
      <c r="B17" s="78"/>
      <c r="C17" s="176"/>
      <c r="E17" s="26"/>
      <c r="F17" s="25"/>
      <c r="G17" s="25"/>
    </row>
    <row r="18" spans="1:12" ht="12.75" customHeight="1" x14ac:dyDescent="0.35">
      <c r="A18" s="25" t="s">
        <v>317</v>
      </c>
      <c r="B18" s="228" t="str">
        <f>IF(UPPER('Fund &amp; Member Details'!B32)="Y",A61,"")</f>
        <v/>
      </c>
      <c r="C18" s="185"/>
      <c r="D18" s="185"/>
      <c r="E18" s="185"/>
      <c r="F18" s="185"/>
      <c r="G18" s="185"/>
      <c r="H18" s="185"/>
      <c r="I18" s="185"/>
      <c r="J18" s="185"/>
      <c r="K18" s="185"/>
      <c r="L18" s="185"/>
    </row>
    <row r="19" spans="1:12" x14ac:dyDescent="0.35">
      <c r="A19" s="25" t="s">
        <v>299</v>
      </c>
      <c r="B19" s="185"/>
      <c r="C19" s="185"/>
      <c r="D19" s="185"/>
      <c r="E19" s="185"/>
      <c r="F19" s="185"/>
      <c r="G19" s="185"/>
      <c r="H19" s="185"/>
      <c r="I19" s="185"/>
      <c r="J19" s="185"/>
      <c r="K19" s="185"/>
      <c r="L19" s="185"/>
    </row>
    <row r="20" spans="1:12" x14ac:dyDescent="0.35">
      <c r="A20" s="25"/>
      <c r="C20" s="176"/>
      <c r="E20" s="26"/>
      <c r="F20" s="25"/>
      <c r="G20" s="25"/>
    </row>
    <row r="21" spans="1:12" x14ac:dyDescent="0.35">
      <c r="A21" s="25" t="s">
        <v>318</v>
      </c>
      <c r="B21" s="43" t="str">
        <f>IF(UPPER('Fund &amp; Member Details'!B31)&lt;&gt;"Y","There were no segregated current pension assets and no segregated non-current pension assets held at any time during the year.","Segregated current pension assets and non-current pension assets held during the year have been excluded from the calculations in this certificate.")</f>
        <v>There were no segregated current pension assets and no segregated non-current pension assets held at any time during the year.</v>
      </c>
      <c r="C21" s="43"/>
      <c r="D21" s="43"/>
      <c r="E21" s="43"/>
      <c r="F21" s="43"/>
      <c r="G21" s="43"/>
      <c r="H21" s="43"/>
      <c r="I21" s="43"/>
      <c r="J21" s="43"/>
      <c r="K21" s="43"/>
      <c r="L21" s="43"/>
    </row>
    <row r="22" spans="1:12" x14ac:dyDescent="0.35">
      <c r="A22" s="25"/>
      <c r="C22" s="176"/>
      <c r="E22" s="26"/>
      <c r="F22" s="25"/>
      <c r="G22" s="25"/>
    </row>
    <row r="23" spans="1:12" x14ac:dyDescent="0.35">
      <c r="A23" s="25" t="s">
        <v>319</v>
      </c>
      <c r="B23" s="43" t="str">
        <f>IF(SUM('Fund &amp; Member Details'!F59:F61)=0,"There were no unallocated reserves during the year.","Unallocated Reserves are included in the Non-Pension Member Balances above.")</f>
        <v>There were no unallocated reserves during the year.</v>
      </c>
      <c r="C23" s="43"/>
      <c r="D23" s="43"/>
      <c r="E23" s="43"/>
      <c r="F23" s="43"/>
      <c r="G23" s="43"/>
    </row>
    <row r="24" spans="1:12" x14ac:dyDescent="0.35">
      <c r="A24" s="25"/>
      <c r="C24" s="176"/>
      <c r="E24" s="26"/>
      <c r="F24" s="25"/>
      <c r="G24" s="25"/>
    </row>
    <row r="25" spans="1:12" x14ac:dyDescent="0.35">
      <c r="A25" s="25" t="s">
        <v>323</v>
      </c>
      <c r="B25" s="66" t="str">
        <f>IF(UPPER('Fund &amp; Member Details'!B31)="Y", "Exclude Segregated Pension Assets from Sections D, E,  F &amp; G - segregation for 2017 year may have unintended consequences for CGT Relief (See LCG 2016/8)","")</f>
        <v/>
      </c>
      <c r="C25" s="176"/>
      <c r="E25" s="26"/>
      <c r="F25" s="25"/>
      <c r="G25" s="25"/>
    </row>
    <row r="26" spans="1:12" x14ac:dyDescent="0.35">
      <c r="A26" s="25" t="s">
        <v>322</v>
      </c>
      <c r="B26" s="107" t="str">
        <f>IF(ABS(('Fund &amp; Member Details'!B29-'Fund &amp; Member Details'!G72))&lt;11,"",CONCATENATE("WARNING SUM OF OPENING BALANCES DIFFERS FROM OPENING NET FUND ASSETS OF $",'Fund &amp; Member Details'!B29, " SHOWN ABOVE"))</f>
        <v/>
      </c>
      <c r="C26" s="176"/>
      <c r="E26" s="26"/>
      <c r="F26" s="25"/>
      <c r="G26" s="25"/>
    </row>
    <row r="27" spans="1:12" x14ac:dyDescent="0.35">
      <c r="A27" s="25" t="s">
        <v>197</v>
      </c>
      <c r="E27" s="26"/>
      <c r="F27" s="25"/>
      <c r="G27" s="25"/>
    </row>
    <row r="28" spans="1:12" x14ac:dyDescent="0.35">
      <c r="A28" s="65" t="s">
        <v>267</v>
      </c>
      <c r="B28" s="65">
        <f>COUNTIF(Transactions!A16:A46,"TO")</f>
        <v>0</v>
      </c>
      <c r="C28" s="25" t="s">
        <v>252</v>
      </c>
      <c r="E28" s="78" t="s">
        <v>274</v>
      </c>
      <c r="F28" s="25"/>
      <c r="G28" s="25"/>
    </row>
    <row r="29" spans="1:12" x14ac:dyDescent="0.35">
      <c r="A29" s="65" t="s">
        <v>268</v>
      </c>
      <c r="B29" s="65">
        <f>COUNTIF(Transactions!I16:I46,"TO")</f>
        <v>0</v>
      </c>
      <c r="C29" s="25"/>
      <c r="E29" s="78" t="s">
        <v>300</v>
      </c>
      <c r="F29" s="25"/>
      <c r="G29" s="25"/>
    </row>
    <row r="30" spans="1:12" x14ac:dyDescent="0.35">
      <c r="A30" s="65" t="s">
        <v>89</v>
      </c>
      <c r="B30" s="65">
        <f>B29+B28</f>
        <v>0</v>
      </c>
      <c r="C30" s="25"/>
      <c r="E30" s="78" t="s">
        <v>273</v>
      </c>
      <c r="F30" s="25"/>
      <c r="G30" s="25"/>
    </row>
    <row r="31" spans="1:12" x14ac:dyDescent="0.35">
      <c r="A31" s="68" t="s">
        <v>215</v>
      </c>
      <c r="B31">
        <f>IF(UPPER('Fund &amp; Member Details'!G77)&lt;&gt;"Y",1,0)</f>
        <v>1</v>
      </c>
      <c r="C31" s="25" t="s">
        <v>251</v>
      </c>
      <c r="E31" s="26"/>
      <c r="F31" s="25"/>
      <c r="G31" s="25"/>
    </row>
    <row r="32" spans="1:12" x14ac:dyDescent="0.35">
      <c r="A32" s="68" t="s">
        <v>218</v>
      </c>
      <c r="B32">
        <f>IF(UPPER('Fund &amp; Member Details'!B30)&lt;&gt;"N",1,0)</f>
        <v>0</v>
      </c>
      <c r="C32" s="25" t="s">
        <v>251</v>
      </c>
      <c r="E32" s="26"/>
      <c r="F32" s="25"/>
      <c r="G32" s="25"/>
    </row>
    <row r="33" spans="1:7" x14ac:dyDescent="0.35">
      <c r="A33" s="25" t="s">
        <v>294</v>
      </c>
      <c r="B33" s="25">
        <f>IF('Percentage Calc'!D55&gt;100,1,IF('Percentage Calc'!D55&lt;0,2,0))</f>
        <v>0</v>
      </c>
      <c r="C33" s="25" t="s">
        <v>251</v>
      </c>
      <c r="E33" s="26"/>
      <c r="F33" s="25"/>
      <c r="G33" s="25"/>
    </row>
    <row r="34" spans="1:7" x14ac:dyDescent="0.35">
      <c r="A34" s="25" t="s">
        <v>295</v>
      </c>
      <c r="B34" s="25">
        <f>IF(('Percentage Calc'!D52+'Percentage Calc'!D53)='Percentage Calc'!K53,0,1)</f>
        <v>0</v>
      </c>
      <c r="C34" s="25" t="s">
        <v>251</v>
      </c>
      <c r="D34" s="52" t="str">
        <f>'Percentage Calc'!D58</f>
        <v>Total OK</v>
      </c>
      <c r="E34" s="26"/>
      <c r="F34" s="25"/>
      <c r="G34" s="25"/>
    </row>
    <row r="35" spans="1:7" x14ac:dyDescent="0.35">
      <c r="A35" s="25"/>
      <c r="B35" s="25">
        <f>SUM(B31:B34)</f>
        <v>1</v>
      </c>
      <c r="C35" s="25" t="s">
        <v>303</v>
      </c>
      <c r="E35" s="26"/>
      <c r="F35" s="25"/>
      <c r="G35" s="25"/>
    </row>
    <row r="36" spans="1:7" x14ac:dyDescent="0.35">
      <c r="A36" s="25" t="s">
        <v>291</v>
      </c>
      <c r="B36" s="25"/>
      <c r="C36" s="25"/>
      <c r="E36" s="26"/>
      <c r="F36" s="25"/>
      <c r="G36" s="25"/>
    </row>
    <row r="37" spans="1:7" x14ac:dyDescent="0.35">
      <c r="A37" s="25" t="s">
        <v>305</v>
      </c>
      <c r="B37" s="52" t="str">
        <f>IF(Check!B30&gt;0,"Transfer Outs - needs to be reviewed by the Actuary","")</f>
        <v/>
      </c>
      <c r="C37" s="25"/>
      <c r="E37" s="26"/>
      <c r="F37" s="25"/>
      <c r="G37" s="25"/>
    </row>
    <row r="38" spans="1:7" x14ac:dyDescent="0.35">
      <c r="A38" s="25" t="s">
        <v>307</v>
      </c>
      <c r="B38" s="52" t="str">
        <f>IF(UPPER('Fund &amp; Member Details'!B30)&lt;&gt;"N","Terminated Fund - needs to be reviewed by the Actuary","")</f>
        <v/>
      </c>
      <c r="C38" s="25"/>
      <c r="E38" s="26"/>
      <c r="F38" s="25"/>
      <c r="G38" s="25"/>
    </row>
    <row r="39" spans="1:7" x14ac:dyDescent="0.35">
      <c r="A39" s="25" t="s">
        <v>306</v>
      </c>
      <c r="B39" s="52" t="str">
        <f>IF('Fund &amp; Member Details'!G48&gt;0,"Pension Payments are debits and therefore should be negative - please alter the Transaction Sheet accordingly.","")</f>
        <v/>
      </c>
      <c r="C39" s="25"/>
      <c r="E39" s="26"/>
      <c r="F39" s="25"/>
      <c r="G39" s="25"/>
    </row>
    <row r="40" spans="1:7" x14ac:dyDescent="0.35">
      <c r="A40" s="25" t="s">
        <v>309</v>
      </c>
      <c r="B40" s="52" t="str">
        <f>IF(Check!B30&gt;0,"For each account that has a transfer out please advise in the section below the amount of any remaining balance in account immediately after the transfer - otherwise it will be assumed to be a transfer of the entire account.","There were no transfer outs during the year and therefore no need to complete the following section relating to balances after transfer.")</f>
        <v>There were no transfer outs during the year and therefore no need to complete the following section relating to balances after transfer.</v>
      </c>
      <c r="C40" s="25"/>
      <c r="E40" s="26"/>
      <c r="F40" s="25"/>
      <c r="G40" s="25"/>
    </row>
    <row r="41" spans="1:7" x14ac:dyDescent="0.35">
      <c r="A41" s="25" t="s">
        <v>308</v>
      </c>
      <c r="B41" s="52" t="str">
        <f>IF(B28&gt;0,"For Pension Accounts a full transfer out amount is generally the opening balance less pensions and withdrawals to date ie do not include revaluations or adjustments.","")</f>
        <v/>
      </c>
      <c r="C41" s="25"/>
      <c r="E41" s="26"/>
      <c r="F41" s="25"/>
      <c r="G41" s="25"/>
    </row>
    <row r="42" spans="1:7" x14ac:dyDescent="0.35">
      <c r="A42" s="25" t="s">
        <v>310</v>
      </c>
      <c r="B42" s="52" t="str">
        <f>IF(B29&gt;0,"For Non-Pension Accounts a full transfer out amount is generally the opening balance plus contributions and rollovers less withdrawals to date ie do not include revaluations or adjustments.","")</f>
        <v/>
      </c>
      <c r="C42" s="25"/>
      <c r="E42" s="26"/>
      <c r="F42" s="25"/>
      <c r="G42" s="25"/>
    </row>
    <row r="43" spans="1:7" x14ac:dyDescent="0.35">
      <c r="A43" s="25" t="s">
        <v>345</v>
      </c>
      <c r="B43" s="52" t="str">
        <f>IF(MAX('Fund &amp; Member Details'!B52:E52)&gt;1600000,"If pensions are not TTRs then commutations may be required in recognition of the Transfer Balance Cap of $1.6m","")</f>
        <v/>
      </c>
      <c r="C43" s="25"/>
      <c r="E43" s="26"/>
      <c r="F43" s="25"/>
      <c r="G43" s="25"/>
    </row>
    <row r="44" spans="1:7" x14ac:dyDescent="0.35">
      <c r="A44" s="25"/>
      <c r="B44" s="52" t="str">
        <f>IF(MAX('Fund &amp; Member Details'!B52:E52)&gt;1600000,"Commutations to comply with LCG 2016/8 (Transfer Balance Cap of $1.6m or TTR Reforms) will generally occur on 30/06/17","")</f>
        <v/>
      </c>
      <c r="C44" s="25"/>
      <c r="E44" s="26"/>
      <c r="F44" s="25"/>
      <c r="G44" s="25"/>
    </row>
    <row r="45" spans="1:7" x14ac:dyDescent="0.35">
      <c r="A45" s="25"/>
      <c r="B45" s="52" t="str">
        <f>IF(MAX('Fund &amp; Member Details'!B52:E52)&gt;1600000,"In these cases code TO in the Pension Account and a corresponding TI in the Non-Pension Account and specify the remaining balance in lines 53-58 of the Transactions Sheet","")</f>
        <v/>
      </c>
      <c r="C45" s="25"/>
      <c r="E45" s="26"/>
      <c r="F45" s="25"/>
      <c r="G45" s="25"/>
    </row>
    <row r="46" spans="1:7" x14ac:dyDescent="0.35">
      <c r="A46" s="25" t="s">
        <v>329</v>
      </c>
      <c r="B46" s="52" t="str">
        <f>IF('Fund &amp; Member Details'!G50&gt;0,"Transfer Outs are debits and therefore should be negative - please alter the Transaction Sheet accordingly.",B39)</f>
        <v/>
      </c>
      <c r="C46" s="25"/>
      <c r="E46" s="26"/>
      <c r="F46" s="25"/>
      <c r="G46" s="25"/>
    </row>
    <row r="47" spans="1:7" x14ac:dyDescent="0.35">
      <c r="A47" s="25" t="s">
        <v>346</v>
      </c>
      <c r="B47" s="52" t="str">
        <f>IF('Fund &amp; Member Details'!G62&gt;0,"Transfer Outs are debits and therefore should be negative - please alter the Transaction Sheet accordingly.","")</f>
        <v/>
      </c>
      <c r="C47" s="25"/>
      <c r="E47" s="26"/>
      <c r="F47" s="25"/>
      <c r="G47" s="25"/>
    </row>
    <row r="48" spans="1:7" x14ac:dyDescent="0.35">
      <c r="A48" s="25" t="s">
        <v>272</v>
      </c>
      <c r="B48" s="52"/>
      <c r="C48" s="25"/>
      <c r="E48" s="26"/>
      <c r="F48" s="25"/>
      <c r="G48" s="25"/>
    </row>
    <row r="49" spans="1:40" x14ac:dyDescent="0.35">
      <c r="A49" s="25" t="s">
        <v>338</v>
      </c>
      <c r="B49" s="52" t="str">
        <f>IF(UPPER('Fund &amp; Member Details'!B32)="Y","-  Code shortfall pension payments made in 2018 year in respect of the 2017 year as Source PP without a date","")</f>
        <v/>
      </c>
      <c r="C49" s="25"/>
      <c r="E49" s="26"/>
      <c r="F49" s="25"/>
      <c r="G49" s="25"/>
    </row>
    <row r="50" spans="1:40" x14ac:dyDescent="0.35">
      <c r="A50" s="25" t="s">
        <v>320</v>
      </c>
      <c r="B50" s="52" t="str">
        <f>IF(UPPER('Fund &amp; Member Details'!B32)="Y","Code 2017 shortfall payments made in the 2018 year as PP on the Transactions Sheet of this form but with no date &amp; don’t report these in the 2018 year request","")</f>
        <v/>
      </c>
      <c r="C50" s="25"/>
      <c r="E50" s="26"/>
      <c r="F50" s="25"/>
      <c r="G50" s="25"/>
    </row>
    <row r="51" spans="1:40" x14ac:dyDescent="0.35">
      <c r="A51" s="25" t="s">
        <v>321</v>
      </c>
      <c r="B51" s="52" t="str">
        <f>IF(UPPER('Fund &amp; Member Details'!B32)="Y",IF('Fund &amp; Member Details'!B22&lt;&gt;"","Only applicable if Trustee has met the GPA standards issued by the ATO in relation to pension shortfall payments","Only applicable if Trustees have met the GPA standards issued by the ATO in relation to pension shortfall payments"),"")</f>
        <v/>
      </c>
      <c r="C51" s="25"/>
      <c r="E51" s="26"/>
      <c r="F51" s="25"/>
      <c r="G51" s="25"/>
    </row>
    <row r="52" spans="1:40" x14ac:dyDescent="0.35">
      <c r="A52" s="25" t="s">
        <v>311</v>
      </c>
      <c r="B52" s="52" t="str">
        <f>IF('Fund &amp; Member Details'!G49&gt;0,"It would be helpful if the Purchase Price (Market Value) and Purchase Date of each pension purchased during the year was shown in the Optional ABPs sheet","")</f>
        <v/>
      </c>
      <c r="C52" s="25"/>
      <c r="E52" s="26"/>
      <c r="F52" s="25"/>
      <c r="G52" s="25"/>
    </row>
    <row r="53" spans="1:40" x14ac:dyDescent="0.35">
      <c r="A53" s="25" t="s">
        <v>312</v>
      </c>
      <c r="B53" s="52" t="str">
        <f>IF(SUM(Transactions!D53:G58)+SUM(Transactions!L53:P58)&gt;0,"Exclude earnings, tax &amp; expenses from the remaining balance amount","")</f>
        <v/>
      </c>
      <c r="C53" s="25"/>
      <c r="E53" s="26"/>
      <c r="F53" s="25"/>
      <c r="G53" s="25"/>
    </row>
    <row r="54" spans="1:40" x14ac:dyDescent="0.35">
      <c r="A54" s="25" t="s">
        <v>313</v>
      </c>
      <c r="B54" s="52" t="str">
        <f>IF(ABS(SUM('Fund &amp; Member Details'!G48:G51)-SUM(Transactions!D47:G47))&gt;0.019,"Missing Pension Account Source Code","")</f>
        <v/>
      </c>
      <c r="C54" s="25"/>
      <c r="E54" s="26"/>
      <c r="F54" s="25"/>
      <c r="G54" s="25"/>
    </row>
    <row r="55" spans="1:40" x14ac:dyDescent="0.35">
      <c r="A55" s="25" t="s">
        <v>314</v>
      </c>
      <c r="B55" s="52" t="str">
        <f>IF(ABS(SUM('Fund &amp; Member Details'!G60:G63)-SUM(Transactions!L47:P47))&gt;0.019,"Missing Non-Pension Account Source Code","")</f>
        <v/>
      </c>
      <c r="C55" s="25"/>
      <c r="E55" s="26"/>
      <c r="F55" s="25"/>
      <c r="G55" s="25"/>
    </row>
    <row r="56" spans="1:40" x14ac:dyDescent="0.35">
      <c r="A56" s="25"/>
      <c r="B56" s="52"/>
      <c r="C56" s="25"/>
      <c r="E56" s="26"/>
      <c r="F56" s="25"/>
      <c r="G56" s="25"/>
    </row>
    <row r="57" spans="1:40" x14ac:dyDescent="0.35">
      <c r="A57" s="25" t="s">
        <v>328</v>
      </c>
      <c r="B57" s="52" t="str">
        <f>IF('Optional ABPs'!B9='Optional ABPs'!B12,B58,IF('Optional ABPs'!C9='Optional ABPs'!C12,B58,IF('Optional ABPs'!D9='Optional ABPs'!D12,B58,IF('Optional ABPs'!E9='Optional ABPs'!E12,B58,""))))</f>
        <v/>
      </c>
      <c r="C57" s="25"/>
      <c r="E57" s="26"/>
      <c r="F57" s="25"/>
      <c r="G57" s="25"/>
    </row>
    <row r="58" spans="1:40" x14ac:dyDescent="0.35">
      <c r="A58" s="25" t="s">
        <v>292</v>
      </c>
      <c r="B58" s="25" t="s">
        <v>304</v>
      </c>
      <c r="C58" s="25"/>
      <c r="E58" s="26"/>
      <c r="F58" s="25"/>
      <c r="G58" s="25"/>
    </row>
    <row r="59" spans="1:40" x14ac:dyDescent="0.35">
      <c r="A59" s="25"/>
      <c r="B59" s="25"/>
      <c r="C59" s="25"/>
      <c r="E59" s="26"/>
      <c r="F59" s="25"/>
      <c r="G59" s="25"/>
    </row>
    <row r="60" spans="1:40" x14ac:dyDescent="0.35">
      <c r="A60" s="25" t="s">
        <v>331</v>
      </c>
      <c r="B60" s="25"/>
      <c r="C60" s="25"/>
      <c r="E60" s="26"/>
      <c r="F60" s="25"/>
      <c r="G60" s="25"/>
    </row>
    <row r="61" spans="1:40" x14ac:dyDescent="0.35">
      <c r="A61" s="25" t="str">
        <f>CONCATENATE("In this case there is a pension shortfall of less than 1/12th of the minimum annual pension and I have been advised that the ",IF('Fund &amp; Member Details'!B22&lt;&gt;"","trustee will exercise its","trustees will exercise their")," rights under the ATO general powers of administration consistent with guidance issued by the ATO in January 2013.  ")</f>
        <v xml:space="preserve">In this case there is a pension shortfall of less than 1/12th of the minimum annual pension and I have been advised that the trustees will exercise their rights under the ATO general powers of administration consistent with guidance issued by the ATO in January 2013.  </v>
      </c>
      <c r="B61" s="25"/>
      <c r="C61" s="25"/>
      <c r="E61" s="26"/>
      <c r="F61" s="25"/>
      <c r="G61" s="25"/>
    </row>
    <row r="62" spans="1:40" x14ac:dyDescent="0.35">
      <c r="A62" s="25"/>
      <c r="B62" s="25"/>
      <c r="C62" s="25"/>
      <c r="E62" s="26"/>
      <c r="F62" s="25"/>
      <c r="G62" s="25"/>
    </row>
    <row r="63" spans="1:40" x14ac:dyDescent="0.35">
      <c r="A63" s="25" t="s">
        <v>332</v>
      </c>
      <c r="B63" s="25"/>
      <c r="C63" s="25"/>
      <c r="E63" s="26"/>
      <c r="F63" s="25"/>
      <c r="G63" s="25"/>
    </row>
    <row r="64" spans="1:40" x14ac:dyDescent="0.35">
      <c r="A64" s="180" t="str">
        <f>CONCATENATE("I am satisfied that the value at 30 June, 2017 of the Fund's assets at that date, together with the future contributions in respect of the superannuation benefits concerned, if accumulated after that date at the rate of the Fund's earnings"," on assets (other than segregated assets), would provide the amount required to meet in full the liabilities as they fall due.  ","No specific assumption has been made regarding rates of return on the Fund's assets nor has any assumption regarding pension increase rates been made.")</f>
        <v>I am satisfied that the value at 30 June, 2017 of the Fund's assets at that date, together with the future contributions in respect of the superannuation benefits concerned, if accumulated after that date at the rate of the Fund's earnings on assets (other than segregated assets), would provide the amount required to meet in full the liabilities as they fall due.  No specific assumption has been made regarding rates of return on the Fund's assets nor has any assumption regarding pension increase rates been made.</v>
      </c>
      <c r="B64" s="180"/>
      <c r="C64" s="180"/>
      <c r="D64" s="181"/>
      <c r="E64" s="73"/>
      <c r="F64" s="180"/>
      <c r="G64" s="180"/>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row>
    <row r="65" spans="1:25" x14ac:dyDescent="0.35">
      <c r="A65" s="180" t="str">
        <f>CONCATENATE("This certificate is based on the termination of the Fund on during the year and the fact that no future contributions will be made to the Fund nor pension payments from the fund.  ","Hence no specific assumption has been made regarding rates of return on the Fund's assets nor has any assumption regarding pension increase rates been made.")</f>
        <v>This certificate is based on the termination of the Fund on during the year and the fact that no future contributions will be made to the Fund nor pension payments from the fund.  Hence no specific assumption has been made regarding rates of return on the Fund's assets nor has any assumption regarding pension increase rates been made.</v>
      </c>
      <c r="B65" s="180"/>
      <c r="C65" s="180"/>
      <c r="D65" s="181"/>
      <c r="E65" s="73"/>
      <c r="F65" s="180"/>
      <c r="G65" s="180"/>
      <c r="H65" s="181"/>
      <c r="I65" s="181"/>
      <c r="J65" s="181"/>
      <c r="K65" s="181"/>
      <c r="L65" s="181"/>
      <c r="M65" s="181"/>
      <c r="N65" s="181"/>
      <c r="O65" s="181"/>
      <c r="P65" s="181"/>
      <c r="Q65" s="181"/>
      <c r="R65" s="181"/>
      <c r="S65" s="181"/>
      <c r="T65" s="181"/>
      <c r="U65" s="181"/>
      <c r="V65" s="181"/>
      <c r="W65" s="181"/>
      <c r="X65" s="181"/>
      <c r="Y65" s="181"/>
    </row>
    <row r="66" spans="1:25" x14ac:dyDescent="0.35">
      <c r="A66" s="25"/>
      <c r="B66" s="25"/>
      <c r="C66" s="25"/>
      <c r="E66" s="26"/>
      <c r="F66" s="25"/>
      <c r="G66" s="25"/>
    </row>
    <row r="67" spans="1:25" x14ac:dyDescent="0.35">
      <c r="A67" s="25"/>
      <c r="B67" s="25"/>
      <c r="C67" s="25"/>
      <c r="E67" s="26"/>
      <c r="F67" s="25"/>
      <c r="G67" s="25"/>
    </row>
    <row r="68" spans="1:25" x14ac:dyDescent="0.35">
      <c r="A68" s="25"/>
      <c r="E68" s="26"/>
      <c r="F68" s="25"/>
      <c r="G68" s="25"/>
    </row>
    <row r="69" spans="1:25" ht="13.15" x14ac:dyDescent="0.4">
      <c r="A69" s="29" t="s">
        <v>57</v>
      </c>
      <c r="B69" s="28"/>
      <c r="C69" s="28"/>
      <c r="D69" s="28"/>
      <c r="E69" s="28"/>
      <c r="F69" s="28"/>
      <c r="G69" s="28"/>
    </row>
    <row r="70" spans="1:25" x14ac:dyDescent="0.35">
      <c r="A70" s="227"/>
      <c r="B70" s="227"/>
      <c r="C70" s="227"/>
      <c r="D70" s="227"/>
      <c r="E70" s="227"/>
      <c r="F70" s="227"/>
      <c r="G70" s="227"/>
    </row>
  </sheetData>
  <sheetProtection password="C7DC" sheet="1" objects="1" scenarios="1"/>
  <mergeCells count="3">
    <mergeCell ref="A70:G70"/>
    <mergeCell ref="B18:L19"/>
    <mergeCell ref="B15:L16"/>
  </mergeCells>
  <dataValidations disablePrompts="1" count="1">
    <dataValidation type="list" showInputMessage="1" showErrorMessage="1" errorTitle="Title of Error Message" error="Test Error Message" promptTitle="Concessional contrib" prompt="Test Message" sqref="I72:I74">
      <formula1>Valid</formula1>
    </dataValidation>
  </dataValidations>
  <pageMargins left="0.25" right="0.25" top="0.75" bottom="0.75" header="0.3" footer="0.3"/>
  <pageSetup paperSize="9" orientation="landscape" horizontalDpi="4294967293"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workbookViewId="0">
      <selection activeCell="B42" sqref="B42"/>
    </sheetView>
  </sheetViews>
  <sheetFormatPr defaultRowHeight="12.75" x14ac:dyDescent="0.35"/>
  <cols>
    <col min="2" max="2" width="10.265625" customWidth="1"/>
    <col min="9" max="9" width="4.73046875" customWidth="1"/>
    <col min="10" max="10" width="27.86328125" customWidth="1"/>
    <col min="11" max="14" width="12" customWidth="1"/>
    <col min="15" max="15" width="10.73046875" customWidth="1"/>
    <col min="16" max="16" width="16.3984375" customWidth="1"/>
    <col min="17" max="17" width="16.73046875" customWidth="1"/>
    <col min="18" max="19" width="10.73046875" customWidth="1"/>
  </cols>
  <sheetData>
    <row r="1" spans="1:20" ht="13.15" x14ac:dyDescent="0.4">
      <c r="A1" s="1" t="s">
        <v>88</v>
      </c>
    </row>
    <row r="3" spans="1:20" ht="13.15" x14ac:dyDescent="0.4">
      <c r="J3" s="2" t="s">
        <v>4</v>
      </c>
    </row>
    <row r="4" spans="1:20" x14ac:dyDescent="0.35">
      <c r="A4" s="7"/>
      <c r="J4" s="25" t="s">
        <v>116</v>
      </c>
    </row>
    <row r="5" spans="1:20" ht="13.15" x14ac:dyDescent="0.4">
      <c r="A5" s="1" t="s">
        <v>237</v>
      </c>
      <c r="B5" s="1"/>
      <c r="C5" s="1"/>
      <c r="D5" s="1"/>
      <c r="E5" s="1" t="s">
        <v>15</v>
      </c>
      <c r="F5" s="1"/>
      <c r="G5" s="1"/>
      <c r="H5" s="1"/>
      <c r="I5" s="1"/>
      <c r="K5" t="s">
        <v>17</v>
      </c>
      <c r="L5" t="s">
        <v>18</v>
      </c>
      <c r="M5" t="s">
        <v>19</v>
      </c>
      <c r="N5" t="s">
        <v>20</v>
      </c>
      <c r="P5" s="8" t="s">
        <v>12</v>
      </c>
      <c r="S5" s="1" t="s">
        <v>59</v>
      </c>
      <c r="T5" s="1"/>
    </row>
    <row r="6" spans="1:20" ht="13.15" x14ac:dyDescent="0.4">
      <c r="A6" s="1" t="s">
        <v>9</v>
      </c>
      <c r="B6" s="1" t="s">
        <v>10</v>
      </c>
      <c r="C6" s="1" t="s">
        <v>11</v>
      </c>
      <c r="D6" s="1"/>
      <c r="E6" s="1" t="s">
        <v>9</v>
      </c>
      <c r="F6" s="1" t="s">
        <v>10</v>
      </c>
      <c r="G6" s="1" t="s">
        <v>11</v>
      </c>
      <c r="H6" s="1"/>
      <c r="I6" s="1"/>
      <c r="J6" s="1" t="s">
        <v>117</v>
      </c>
      <c r="K6" s="3">
        <f>IF('Optional ABPs'!B12="",DATA!K10,'Optional ABPs'!B12)</f>
        <v>42916</v>
      </c>
      <c r="L6" s="3">
        <f>IF('Optional ABPs'!C12="",DATA!L10,'Optional ABPs'!C12)</f>
        <v>42916</v>
      </c>
      <c r="M6" s="3">
        <f>IF('Optional ABPs'!D12="",DATA!M10,'Optional ABPs'!D12)</f>
        <v>42916</v>
      </c>
      <c r="N6" s="3">
        <f>IF('Optional ABPs'!E12="",DATA!N10,'Optional ABPs'!E12)</f>
        <v>42916</v>
      </c>
      <c r="P6" s="1" t="s">
        <v>13</v>
      </c>
      <c r="Q6" s="1" t="s">
        <v>14</v>
      </c>
      <c r="S6" s="1" t="s">
        <v>9</v>
      </c>
      <c r="T6" s="1"/>
    </row>
    <row r="7" spans="1:20" ht="13.15" x14ac:dyDescent="0.4">
      <c r="A7">
        <v>20</v>
      </c>
      <c r="B7">
        <v>10</v>
      </c>
      <c r="C7">
        <v>28.6</v>
      </c>
      <c r="E7">
        <v>0</v>
      </c>
      <c r="F7">
        <v>12</v>
      </c>
      <c r="G7">
        <v>29.2</v>
      </c>
      <c r="J7" s="1" t="s">
        <v>5</v>
      </c>
      <c r="K7" s="5">
        <f>(K6-'Optional ABPs'!B9)+1</f>
        <v>365</v>
      </c>
      <c r="L7" s="5">
        <f>(L6-'Optional ABPs'!C9)+1</f>
        <v>365</v>
      </c>
      <c r="M7" s="5">
        <f>(M6-'Optional ABPs'!D9)+1</f>
        <v>365</v>
      </c>
      <c r="N7" s="5">
        <f>(N6-'Optional ABPs'!E9)+1</f>
        <v>365</v>
      </c>
      <c r="P7">
        <v>45</v>
      </c>
      <c r="Q7" s="6">
        <v>22.5</v>
      </c>
      <c r="S7">
        <v>0</v>
      </c>
      <c r="T7" s="39">
        <v>0.04</v>
      </c>
    </row>
    <row r="8" spans="1:20" ht="13.15" x14ac:dyDescent="0.4">
      <c r="A8">
        <v>21</v>
      </c>
      <c r="B8">
        <v>10</v>
      </c>
      <c r="C8">
        <v>28.5</v>
      </c>
      <c r="E8">
        <v>20</v>
      </c>
      <c r="F8">
        <v>12</v>
      </c>
      <c r="G8">
        <v>29.2</v>
      </c>
      <c r="J8" s="1" t="s">
        <v>6</v>
      </c>
      <c r="K8">
        <f>K10-K9+1</f>
        <v>365</v>
      </c>
      <c r="L8">
        <f>L10-L9+1</f>
        <v>365</v>
      </c>
      <c r="M8">
        <f>M10-M9+1</f>
        <v>365</v>
      </c>
      <c r="N8">
        <f>N10-N9+1</f>
        <v>365</v>
      </c>
      <c r="P8">
        <v>44</v>
      </c>
      <c r="Q8" s="6">
        <v>22.28</v>
      </c>
      <c r="S8">
        <v>65</v>
      </c>
      <c r="T8" s="39">
        <v>0.05</v>
      </c>
    </row>
    <row r="9" spans="1:20" ht="13.15" x14ac:dyDescent="0.4">
      <c r="A9">
        <v>22</v>
      </c>
      <c r="B9">
        <v>10</v>
      </c>
      <c r="C9">
        <v>28.3</v>
      </c>
      <c r="E9">
        <v>21</v>
      </c>
      <c r="F9">
        <v>12</v>
      </c>
      <c r="G9">
        <v>29</v>
      </c>
      <c r="J9" s="1" t="s">
        <v>7</v>
      </c>
      <c r="K9" s="3">
        <f>DATE(IF(MONTH('Optional ABPs'!B9)&gt;6,YEAR('Optional ABPs'!B9),YEAR('Optional ABPs'!B9)-1),7,1)</f>
        <v>42552</v>
      </c>
      <c r="L9" s="3">
        <f>DATE(IF(MONTH('Optional ABPs'!C9)&gt;6,YEAR('Optional ABPs'!C9),YEAR('Optional ABPs'!C9)-1),7,1)</f>
        <v>42552</v>
      </c>
      <c r="M9" s="3">
        <f>DATE(IF(MONTH('Optional ABPs'!D9)&gt;6,YEAR('Optional ABPs'!D9),YEAR('Optional ABPs'!D9)-1),7,1)</f>
        <v>42552</v>
      </c>
      <c r="N9" s="3">
        <f>DATE(IF(MONTH('Optional ABPs'!E9)&gt;6,YEAR('Optional ABPs'!E9),YEAR('Optional ABPs'!E9)-1),7,1)</f>
        <v>42552</v>
      </c>
      <c r="P9">
        <v>43</v>
      </c>
      <c r="Q9" s="6">
        <v>22.06</v>
      </c>
      <c r="S9">
        <v>75</v>
      </c>
      <c r="T9" s="39">
        <v>0.06</v>
      </c>
    </row>
    <row r="10" spans="1:20" ht="13.15" x14ac:dyDescent="0.4">
      <c r="A10">
        <v>23</v>
      </c>
      <c r="B10">
        <v>10</v>
      </c>
      <c r="C10">
        <v>28.1</v>
      </c>
      <c r="E10">
        <v>22</v>
      </c>
      <c r="F10">
        <v>12</v>
      </c>
      <c r="G10">
        <v>28.9</v>
      </c>
      <c r="J10" s="1" t="s">
        <v>8</v>
      </c>
      <c r="K10" s="3">
        <f>DATE(IF(MONTH('Optional ABPs'!B9)&gt;6,YEAR('Optional ABPs'!B9)+1,YEAR('Optional ABPs'!B9)),6,30)</f>
        <v>42916</v>
      </c>
      <c r="L10" s="3">
        <f>DATE(IF(MONTH('Optional ABPs'!C9)&gt;6,YEAR('Optional ABPs'!C9)+1,YEAR('Optional ABPs'!C9)),6,30)</f>
        <v>42916</v>
      </c>
      <c r="M10" s="3">
        <f>DATE(IF(MONTH('Optional ABPs'!D9)&gt;6,YEAR('Optional ABPs'!D9)+1,YEAR('Optional ABPs'!D9)),6,30)</f>
        <v>42916</v>
      </c>
      <c r="N10" s="3">
        <f>DATE(IF(MONTH('Optional ABPs'!E9)&gt;6,YEAR('Optional ABPs'!E9)+1,YEAR('Optional ABPs'!E9)),6,30)</f>
        <v>42916</v>
      </c>
      <c r="O10" s="4"/>
      <c r="P10">
        <v>42</v>
      </c>
      <c r="Q10" s="6">
        <v>21.83</v>
      </c>
      <c r="S10">
        <v>80</v>
      </c>
      <c r="T10" s="39">
        <v>7.0000000000000007E-2</v>
      </c>
    </row>
    <row r="11" spans="1:20" ht="13.15" x14ac:dyDescent="0.4">
      <c r="A11">
        <v>24</v>
      </c>
      <c r="B11">
        <v>10</v>
      </c>
      <c r="C11">
        <v>28</v>
      </c>
      <c r="E11">
        <v>23</v>
      </c>
      <c r="F11">
        <v>12</v>
      </c>
      <c r="G11">
        <v>28.7</v>
      </c>
      <c r="J11" s="1" t="s">
        <v>1</v>
      </c>
      <c r="K11" s="3" t="str">
        <f>'Optional ABPs'!B8</f>
        <v/>
      </c>
      <c r="L11" s="3" t="str">
        <f>'Optional ABPs'!C8</f>
        <v/>
      </c>
      <c r="M11" s="3" t="str">
        <f>'Optional ABPs'!D8</f>
        <v/>
      </c>
      <c r="N11" s="3" t="str">
        <f>'Optional ABPs'!E8</f>
        <v/>
      </c>
      <c r="O11" s="4"/>
      <c r="P11">
        <v>41</v>
      </c>
      <c r="Q11" s="6">
        <v>21.6</v>
      </c>
      <c r="S11">
        <v>85</v>
      </c>
      <c r="T11" s="39">
        <v>0.09</v>
      </c>
    </row>
    <row r="12" spans="1:20" ht="13.15" x14ac:dyDescent="0.4">
      <c r="A12">
        <v>25</v>
      </c>
      <c r="B12">
        <v>10</v>
      </c>
      <c r="C12">
        <v>27.8</v>
      </c>
      <c r="E12">
        <v>24</v>
      </c>
      <c r="F12">
        <v>12</v>
      </c>
      <c r="G12">
        <v>28.6</v>
      </c>
      <c r="J12" s="1" t="s">
        <v>118</v>
      </c>
      <c r="K12">
        <f>IF('Optional ABPs'!B8&lt;&gt;"",INT(YEAR('Optional ABPs'!B9)-YEAR(K11)+(MONTH('Optional ABPs'!B9)-MONTH(K11))/12+(DAY('Optional ABPs'!B9)-DAY(K11))/365),0)</f>
        <v>0</v>
      </c>
      <c r="L12">
        <f>IF('Optional ABPs'!C8&lt;&gt;"",INT(YEAR('Optional ABPs'!C9)-YEAR(L11)+(MONTH('Optional ABPs'!C9)-MONTH(L11))/12+(DAY('Optional ABPs'!C9)-DAY(L11))/365),0)</f>
        <v>0</v>
      </c>
      <c r="M12">
        <f>IF('Optional ABPs'!D8&lt;&gt;"",INT(YEAR('Optional ABPs'!D9)-YEAR(M11)+(MONTH('Optional ABPs'!D9)-MONTH(M11))/12+(DAY('Optional ABPs'!D9)-DAY(M11))/365),0)</f>
        <v>0</v>
      </c>
      <c r="N12">
        <f>IF('Optional ABPs'!E8&lt;&gt;"",INT(YEAR('Optional ABPs'!E9)-YEAR(N11)+(MONTH('Optional ABPs'!E9)-MONTH(N11))/12+(DAY('Optional ABPs'!E9)-DAY(N11))/365),0)</f>
        <v>0</v>
      </c>
      <c r="O12" s="4"/>
      <c r="P12">
        <v>40</v>
      </c>
      <c r="Q12" s="6">
        <v>21.36</v>
      </c>
      <c r="S12">
        <v>90</v>
      </c>
      <c r="T12" s="39">
        <v>0.11</v>
      </c>
    </row>
    <row r="13" spans="1:20" ht="13.15" x14ac:dyDescent="0.4">
      <c r="A13">
        <v>26</v>
      </c>
      <c r="B13">
        <v>10</v>
      </c>
      <c r="C13">
        <v>27.6</v>
      </c>
      <c r="E13">
        <v>25</v>
      </c>
      <c r="F13">
        <v>12</v>
      </c>
      <c r="G13">
        <v>28.4</v>
      </c>
      <c r="J13" s="1" t="s">
        <v>112</v>
      </c>
      <c r="K13">
        <f>IF('Optional ABPs'!B10&lt;&gt;"",'Optional ABPs'!B10,0)</f>
        <v>0</v>
      </c>
      <c r="L13">
        <f>IF('Optional ABPs'!C10&lt;&gt;"",'Optional ABPs'!C10,0)</f>
        <v>0</v>
      </c>
      <c r="M13">
        <f>IF('Optional ABPs'!D10&lt;&gt;"",'Optional ABPs'!D10,0)</f>
        <v>0</v>
      </c>
      <c r="N13">
        <f>IF('Optional ABPs'!E10&lt;&gt;"",'Optional ABPs'!E10,0)</f>
        <v>0</v>
      </c>
      <c r="O13" s="4"/>
      <c r="P13">
        <v>39</v>
      </c>
      <c r="Q13" s="6">
        <v>21.1</v>
      </c>
      <c r="S13">
        <v>95</v>
      </c>
      <c r="T13" s="39">
        <v>0.14000000000000001</v>
      </c>
    </row>
    <row r="14" spans="1:20" ht="13.15" x14ac:dyDescent="0.4">
      <c r="A14">
        <v>27</v>
      </c>
      <c r="B14">
        <v>10</v>
      </c>
      <c r="C14">
        <v>27.5</v>
      </c>
      <c r="E14">
        <v>26</v>
      </c>
      <c r="F14">
        <v>12</v>
      </c>
      <c r="G14">
        <v>28.3</v>
      </c>
      <c r="J14" s="1" t="s">
        <v>119</v>
      </c>
      <c r="K14">
        <f>IF(K12&gt;0,VLOOKUP(K12,$S$7:$T$13,2,TRUE),0)</f>
        <v>0</v>
      </c>
      <c r="L14">
        <f>IF(L12&gt;0,VLOOKUP(L12,$S$7:$T$13,2,TRUE),0)</f>
        <v>0</v>
      </c>
      <c r="M14">
        <f>IF(M12&gt;0,VLOOKUP(M12,$S$7:$T$13,2,TRUE),0)</f>
        <v>0</v>
      </c>
      <c r="N14">
        <f>IF(N12&gt;0,VLOOKUP(N12,$S$7:$T$13,2,TRUE),0)</f>
        <v>0</v>
      </c>
      <c r="O14" s="4"/>
      <c r="P14">
        <v>38</v>
      </c>
      <c r="Q14" s="6">
        <v>20.84</v>
      </c>
      <c r="S14" s="4"/>
    </row>
    <row r="15" spans="1:20" ht="13.15" x14ac:dyDescent="0.4">
      <c r="A15">
        <v>28</v>
      </c>
      <c r="B15">
        <v>10</v>
      </c>
      <c r="C15">
        <v>27.3</v>
      </c>
      <c r="E15">
        <v>27</v>
      </c>
      <c r="F15">
        <v>12</v>
      </c>
      <c r="G15">
        <v>28.1</v>
      </c>
      <c r="J15" s="1" t="s">
        <v>120</v>
      </c>
      <c r="K15">
        <f>IF('Optional ABPs'!B9&lt;(DATA!K10-29),ROUND(K13*K14*K7/K8/10,0)*10,0)</f>
        <v>0</v>
      </c>
      <c r="L15">
        <f>IF('Optional ABPs'!C9&lt;(DATA!L10-29),ROUND(L13*L14*L7/L8/10,0)*10,0)</f>
        <v>0</v>
      </c>
      <c r="M15">
        <f>IF('Optional ABPs'!D9&lt;(DATA!M10-29),ROUND(M13*M14*M7/M8/10,0)*10,0)</f>
        <v>0</v>
      </c>
      <c r="N15">
        <f>IF('Optional ABPs'!E9&lt;(DATA!N10-29),ROUND(N13*N14*N7/N8/10,0)*10,0)</f>
        <v>0</v>
      </c>
      <c r="O15" s="4"/>
      <c r="P15">
        <v>37</v>
      </c>
      <c r="Q15" s="6">
        <v>20.57</v>
      </c>
      <c r="S15" s="4"/>
    </row>
    <row r="16" spans="1:20" ht="13.15" x14ac:dyDescent="0.4">
      <c r="A16">
        <v>29</v>
      </c>
      <c r="B16">
        <v>10</v>
      </c>
      <c r="C16">
        <v>27.1</v>
      </c>
      <c r="E16">
        <v>28</v>
      </c>
      <c r="F16">
        <v>12</v>
      </c>
      <c r="G16">
        <v>27.9</v>
      </c>
      <c r="J16" s="1" t="s">
        <v>121</v>
      </c>
      <c r="K16" s="25">
        <f>IF('Optional ABPs'!B11="N",K13,IF(K12&lt;65,0.1*K13,K13))</f>
        <v>0</v>
      </c>
      <c r="L16" s="25">
        <f>IF('Optional ABPs'!C11="N",L13,IF(L12&lt;65,0.1*L13,L13))</f>
        <v>0</v>
      </c>
      <c r="M16" s="25">
        <f>IF('Optional ABPs'!D11="N",M13,IF(M12&lt;65,0.1*M13,M13))</f>
        <v>0</v>
      </c>
      <c r="N16" s="25">
        <f>IF('Optional ABPs'!E11="N",N13,IF(N12&lt;65,0.1*N13,N13))</f>
        <v>0</v>
      </c>
      <c r="O16" s="4"/>
      <c r="P16">
        <v>36</v>
      </c>
      <c r="Q16" s="6">
        <v>20.29</v>
      </c>
      <c r="S16" s="4"/>
    </row>
    <row r="17" spans="1:19" x14ac:dyDescent="0.35">
      <c r="A17">
        <v>30</v>
      </c>
      <c r="B17">
        <v>10</v>
      </c>
      <c r="C17">
        <v>26.9</v>
      </c>
      <c r="E17">
        <v>29</v>
      </c>
      <c r="F17">
        <v>12</v>
      </c>
      <c r="G17">
        <v>27.8</v>
      </c>
      <c r="O17" s="4"/>
      <c r="P17">
        <v>35</v>
      </c>
      <c r="Q17" s="6">
        <v>20</v>
      </c>
      <c r="S17" s="4"/>
    </row>
    <row r="18" spans="1:19" ht="13.15" x14ac:dyDescent="0.4">
      <c r="A18">
        <v>31</v>
      </c>
      <c r="B18">
        <v>10</v>
      </c>
      <c r="C18">
        <v>26.7</v>
      </c>
      <c r="E18">
        <v>30</v>
      </c>
      <c r="F18">
        <v>12</v>
      </c>
      <c r="G18">
        <v>27.6</v>
      </c>
      <c r="J18" s="1" t="s">
        <v>122</v>
      </c>
      <c r="O18" s="4"/>
      <c r="P18">
        <v>34</v>
      </c>
      <c r="Q18" s="6">
        <v>19.7</v>
      </c>
      <c r="S18" s="4"/>
    </row>
    <row r="19" spans="1:19" x14ac:dyDescent="0.35">
      <c r="A19">
        <v>32</v>
      </c>
      <c r="B19">
        <v>10</v>
      </c>
      <c r="C19">
        <v>26.5</v>
      </c>
      <c r="E19">
        <v>31</v>
      </c>
      <c r="F19">
        <v>12</v>
      </c>
      <c r="G19">
        <v>27.4</v>
      </c>
      <c r="K19" t="s">
        <v>17</v>
      </c>
      <c r="L19" t="s">
        <v>18</v>
      </c>
      <c r="M19" t="s">
        <v>19</v>
      </c>
      <c r="N19" t="s">
        <v>20</v>
      </c>
      <c r="O19" s="4"/>
      <c r="P19">
        <v>33</v>
      </c>
      <c r="Q19" s="6">
        <v>19.39</v>
      </c>
      <c r="S19" s="4"/>
    </row>
    <row r="20" spans="1:19" ht="13.15" x14ac:dyDescent="0.4">
      <c r="A20">
        <v>33</v>
      </c>
      <c r="B20">
        <v>10</v>
      </c>
      <c r="C20">
        <v>26.3</v>
      </c>
      <c r="E20">
        <v>32</v>
      </c>
      <c r="F20">
        <v>12</v>
      </c>
      <c r="G20">
        <v>27.2</v>
      </c>
      <c r="J20" s="1" t="s">
        <v>117</v>
      </c>
      <c r="K20" s="3">
        <f>IF('Optional ABPs'!B26="",DATA!K24,'Optional ABPs'!B26)</f>
        <v>42916</v>
      </c>
      <c r="L20" s="3">
        <f>IF('Optional ABPs'!C26="",DATA!L24,'Optional ABPs'!C26)</f>
        <v>42916</v>
      </c>
      <c r="M20" s="3">
        <f>IF('Optional ABPs'!D26="",DATA!M24,'Optional ABPs'!D26)</f>
        <v>42916</v>
      </c>
      <c r="N20" s="3">
        <f>IF('Optional ABPs'!E26="",DATA!N24,'Optional ABPs'!E26)</f>
        <v>42916</v>
      </c>
      <c r="O20" s="4"/>
      <c r="P20">
        <v>32</v>
      </c>
      <c r="Q20" s="6">
        <v>19.07</v>
      </c>
      <c r="S20" s="4"/>
    </row>
    <row r="21" spans="1:19" ht="13.15" x14ac:dyDescent="0.4">
      <c r="A21">
        <v>34</v>
      </c>
      <c r="B21">
        <v>10</v>
      </c>
      <c r="C21">
        <v>26</v>
      </c>
      <c r="E21">
        <v>33</v>
      </c>
      <c r="F21">
        <v>12</v>
      </c>
      <c r="G21">
        <v>27</v>
      </c>
      <c r="J21" s="1" t="s">
        <v>5</v>
      </c>
      <c r="K21" s="5">
        <f>(K20-'Optional ABPs'!B23)+1</f>
        <v>365</v>
      </c>
      <c r="L21" s="5">
        <f>(L20-'Optional ABPs'!C23)+1</f>
        <v>365</v>
      </c>
      <c r="M21" s="5">
        <f>(M20-'Optional ABPs'!D23)+1</f>
        <v>365</v>
      </c>
      <c r="N21" s="5">
        <f>(N20-'Optional ABPs'!E23)+1</f>
        <v>365</v>
      </c>
      <c r="O21" s="4"/>
      <c r="P21">
        <v>31</v>
      </c>
      <c r="Q21" s="6">
        <v>18.739999999999998</v>
      </c>
      <c r="S21" s="4"/>
    </row>
    <row r="22" spans="1:19" ht="13.15" x14ac:dyDescent="0.4">
      <c r="A22">
        <v>35</v>
      </c>
      <c r="B22">
        <v>10</v>
      </c>
      <c r="C22">
        <v>25.8</v>
      </c>
      <c r="E22">
        <v>34</v>
      </c>
      <c r="F22">
        <v>12</v>
      </c>
      <c r="G22">
        <v>26.8</v>
      </c>
      <c r="J22" s="1" t="s">
        <v>6</v>
      </c>
      <c r="K22">
        <f>K24-K23+1</f>
        <v>365</v>
      </c>
      <c r="L22">
        <f>L24-L23+1</f>
        <v>365</v>
      </c>
      <c r="M22">
        <f>M24-M23+1</f>
        <v>365</v>
      </c>
      <c r="N22">
        <f>N24-N23+1</f>
        <v>365</v>
      </c>
      <c r="O22" s="4"/>
      <c r="P22">
        <v>30</v>
      </c>
      <c r="Q22" s="6">
        <v>18.39</v>
      </c>
      <c r="S22" s="4"/>
    </row>
    <row r="23" spans="1:19" ht="13.15" x14ac:dyDescent="0.4">
      <c r="A23">
        <v>36</v>
      </c>
      <c r="B23">
        <v>10</v>
      </c>
      <c r="C23">
        <v>25.6</v>
      </c>
      <c r="E23">
        <v>35</v>
      </c>
      <c r="F23">
        <v>12</v>
      </c>
      <c r="G23">
        <v>26.6</v>
      </c>
      <c r="J23" s="1" t="s">
        <v>7</v>
      </c>
      <c r="K23" s="3">
        <f>DATE(IF(MONTH('Optional ABPs'!B23)&gt;6,YEAR('Optional ABPs'!B23),YEAR('Optional ABPs'!B23)-1),7,1)</f>
        <v>42552</v>
      </c>
      <c r="L23" s="3">
        <f>DATE(IF(MONTH('Optional ABPs'!C23)&gt;6,YEAR('Optional ABPs'!C23),YEAR('Optional ABPs'!C23)-1),7,1)</f>
        <v>42552</v>
      </c>
      <c r="M23" s="3">
        <f>DATE(IF(MONTH('Optional ABPs'!D23)&gt;6,YEAR('Optional ABPs'!D23),YEAR('Optional ABPs'!D23)-1),7,1)</f>
        <v>42552</v>
      </c>
      <c r="N23" s="3">
        <f>DATE(IF(MONTH('Optional ABPs'!E23)&gt;6,YEAR('Optional ABPs'!E23),YEAR('Optional ABPs'!E23)-1),7,1)</f>
        <v>42552</v>
      </c>
      <c r="O23" s="4"/>
      <c r="P23">
        <v>29</v>
      </c>
      <c r="Q23" s="6">
        <v>18.04</v>
      </c>
      <c r="S23" s="4"/>
    </row>
    <row r="24" spans="1:19" ht="13.15" x14ac:dyDescent="0.4">
      <c r="A24">
        <v>37</v>
      </c>
      <c r="B24">
        <v>10</v>
      </c>
      <c r="C24">
        <v>25.3</v>
      </c>
      <c r="E24">
        <v>36</v>
      </c>
      <c r="F24">
        <v>12</v>
      </c>
      <c r="G24">
        <v>26.4</v>
      </c>
      <c r="J24" s="1" t="s">
        <v>8</v>
      </c>
      <c r="K24" s="3">
        <f>DATE(IF(MONTH('Optional ABPs'!B23)&gt;6,YEAR('Optional ABPs'!B23)+1,YEAR('Optional ABPs'!B23)),6,30)</f>
        <v>42916</v>
      </c>
      <c r="L24" s="3">
        <f>DATE(IF(MONTH('Optional ABPs'!C23)&gt;6,YEAR('Optional ABPs'!C23)+1,YEAR('Optional ABPs'!C23)),6,30)</f>
        <v>42916</v>
      </c>
      <c r="M24" s="3">
        <f>DATE(IF(MONTH('Optional ABPs'!D23)&gt;6,YEAR('Optional ABPs'!D23)+1,YEAR('Optional ABPs'!D23)),6,30)</f>
        <v>42916</v>
      </c>
      <c r="N24" s="3">
        <f>DATE(IF(MONTH('Optional ABPs'!E23)&gt;6,YEAR('Optional ABPs'!E23)+1,YEAR('Optional ABPs'!E23)),6,30)</f>
        <v>42916</v>
      </c>
      <c r="O24" s="4"/>
      <c r="P24">
        <v>28</v>
      </c>
      <c r="Q24" s="6">
        <v>17.670000000000002</v>
      </c>
      <c r="S24" s="4"/>
    </row>
    <row r="25" spans="1:19" ht="13.15" x14ac:dyDescent="0.4">
      <c r="A25">
        <v>38</v>
      </c>
      <c r="B25">
        <v>10</v>
      </c>
      <c r="C25">
        <v>25.1</v>
      </c>
      <c r="E25">
        <v>37</v>
      </c>
      <c r="F25">
        <v>12</v>
      </c>
      <c r="G25">
        <v>26.2</v>
      </c>
      <c r="J25" s="1" t="s">
        <v>118</v>
      </c>
      <c r="K25">
        <f>IF('Optional ABPs'!B22&lt;&gt;"",INT(YEAR('Optional ABPs'!B23)-YEAR('Optional ABPs'!B22)+(MONTH('Optional ABPs'!B23)-MONTH('Optional ABPs'!B22))/12+(DAY('Optional ABPs'!B23)-DAY('Optional ABPs'!B22))/365),0)</f>
        <v>0</v>
      </c>
      <c r="L25">
        <f>IF('Optional ABPs'!C22&lt;&gt;"",INT(YEAR('Optional ABPs'!C23)-YEAR('Optional ABPs'!C22)+(MONTH('Optional ABPs'!C23)-MONTH('Optional ABPs'!C22))/12+(DAY('Optional ABPs'!C23)-DAY('Optional ABPs'!C22))/365),0)</f>
        <v>0</v>
      </c>
      <c r="M25">
        <f>IF('Optional ABPs'!D22&lt;&gt;"",INT(YEAR('Optional ABPs'!D23)-YEAR('Optional ABPs'!D22)+(MONTH('Optional ABPs'!D23)-MONTH('Optional ABPs'!D22))/12+(DAY('Optional ABPs'!D23)-DAY('Optional ABPs'!D22))/365),0)</f>
        <v>0</v>
      </c>
      <c r="N25">
        <f>IF('Optional ABPs'!E22&lt;&gt;"",INT(YEAR('Optional ABPs'!E23)-YEAR('Optional ABPs'!E22)+(MONTH('Optional ABPs'!E23)-MONTH('Optional ABPs'!E22))/12+(DAY('Optional ABPs'!E23)-DAY('Optional ABPs'!E22))/365),0)</f>
        <v>0</v>
      </c>
      <c r="O25" s="4"/>
      <c r="P25">
        <v>27</v>
      </c>
      <c r="Q25" s="6">
        <v>17.29</v>
      </c>
      <c r="S25" s="4"/>
    </row>
    <row r="26" spans="1:19" ht="13.15" x14ac:dyDescent="0.4">
      <c r="A26">
        <v>39</v>
      </c>
      <c r="B26">
        <v>10</v>
      </c>
      <c r="C26">
        <v>24.8</v>
      </c>
      <c r="E26">
        <v>38</v>
      </c>
      <c r="F26">
        <v>12</v>
      </c>
      <c r="G26">
        <v>26</v>
      </c>
      <c r="J26" s="1" t="s">
        <v>112</v>
      </c>
      <c r="K26">
        <f>IF('Optional ABPs'!B24&lt;&gt;"",'Optional ABPs'!B24,0)</f>
        <v>0</v>
      </c>
      <c r="L26">
        <f>IF('Optional ABPs'!C24&lt;&gt;"",'Optional ABPs'!C24,0)</f>
        <v>0</v>
      </c>
      <c r="M26">
        <f>IF('Optional ABPs'!D24&lt;&gt;"",'Optional ABPs'!D24,0)</f>
        <v>0</v>
      </c>
      <c r="N26">
        <f>IF('Optional ABPs'!E24&lt;&gt;"",'Optional ABPs'!E24,0)</f>
        <v>0</v>
      </c>
      <c r="O26" s="4"/>
      <c r="P26">
        <v>26</v>
      </c>
      <c r="Q26" s="6">
        <v>16.89</v>
      </c>
      <c r="S26" s="4"/>
    </row>
    <row r="27" spans="1:19" ht="13.15" x14ac:dyDescent="0.4">
      <c r="A27">
        <v>40</v>
      </c>
      <c r="B27">
        <v>10</v>
      </c>
      <c r="C27">
        <v>24.6</v>
      </c>
      <c r="E27">
        <v>39</v>
      </c>
      <c r="F27">
        <v>12</v>
      </c>
      <c r="G27">
        <v>25.8</v>
      </c>
      <c r="J27" s="1" t="s">
        <v>119</v>
      </c>
      <c r="K27">
        <f>IF(K25&gt;0,VLOOKUP(K25,$S$7:$T$13,2,TRUE),0)</f>
        <v>0</v>
      </c>
      <c r="L27">
        <f>IF(L25&gt;0,VLOOKUP(L25,$S$7:$T$13,2,TRUE),0)</f>
        <v>0</v>
      </c>
      <c r="M27">
        <f>IF(M25&gt;0,VLOOKUP(M25,$S$7:$T$13,2,TRUE),0)</f>
        <v>0</v>
      </c>
      <c r="N27">
        <f>IF(N25&gt;0,VLOOKUP(N25,$S$7:$T$13,2,TRUE),0)</f>
        <v>0</v>
      </c>
      <c r="O27" s="4"/>
      <c r="P27">
        <v>25</v>
      </c>
      <c r="Q27" s="6">
        <v>16.48</v>
      </c>
      <c r="S27" s="4"/>
    </row>
    <row r="28" spans="1:19" ht="13.15" x14ac:dyDescent="0.4">
      <c r="A28">
        <v>41</v>
      </c>
      <c r="B28">
        <v>10</v>
      </c>
      <c r="C28">
        <v>24.3</v>
      </c>
      <c r="E28">
        <v>40</v>
      </c>
      <c r="F28">
        <v>12</v>
      </c>
      <c r="G28">
        <v>25.5</v>
      </c>
      <c r="J28" s="1" t="s">
        <v>120</v>
      </c>
      <c r="K28">
        <f>IF('Optional ABPs'!B23&lt;(DATA!K24-29),ROUND(K26*K27*K21/K22/10,0)*10,0)</f>
        <v>0</v>
      </c>
      <c r="L28">
        <f>IF('Optional ABPs'!C23&lt;(DATA!L24-29),ROUND(L26*L27*L21/L22/10,0)*10,0)</f>
        <v>0</v>
      </c>
      <c r="M28">
        <f>IF('Optional ABPs'!D23&lt;(DATA!M24-29),ROUND(M26*M27*M21/M22/10,0)*10,0)</f>
        <v>0</v>
      </c>
      <c r="N28">
        <f>IF('Optional ABPs'!E23&lt;(DATA!N24-29),ROUND(N26*N27*N21/N22/10,0)*10,0)</f>
        <v>0</v>
      </c>
      <c r="O28" s="4"/>
      <c r="P28">
        <v>24</v>
      </c>
      <c r="Q28" s="6">
        <v>16.059999999999999</v>
      </c>
      <c r="S28" s="4"/>
    </row>
    <row r="29" spans="1:19" ht="13.15" x14ac:dyDescent="0.4">
      <c r="A29">
        <v>42</v>
      </c>
      <c r="B29">
        <v>10</v>
      </c>
      <c r="C29">
        <v>24</v>
      </c>
      <c r="E29">
        <v>41</v>
      </c>
      <c r="F29">
        <v>12</v>
      </c>
      <c r="G29">
        <v>25.3</v>
      </c>
      <c r="J29" s="1" t="s">
        <v>121</v>
      </c>
      <c r="K29" s="25">
        <f>IF('Optional ABPs'!B25="N",K26,IF(K25&lt;65,0.1*K26,K26))</f>
        <v>0</v>
      </c>
      <c r="L29" s="25">
        <f>IF('Optional ABPs'!C25="N",L26,IF(L25&lt;65,0.1*L26,L26))</f>
        <v>0</v>
      </c>
      <c r="M29" s="25">
        <f>IF('Optional ABPs'!D25="N",M26,IF(M25&lt;65,0.1*M26,M26))</f>
        <v>0</v>
      </c>
      <c r="N29" s="25">
        <f>IF('Optional ABPs'!E25="N",N26,IF(N25&lt;65,0.1*N26,N26))</f>
        <v>0</v>
      </c>
      <c r="O29" s="4"/>
      <c r="P29">
        <v>23</v>
      </c>
      <c r="Q29" s="6">
        <v>15.62</v>
      </c>
      <c r="S29" s="4"/>
    </row>
    <row r="30" spans="1:19" x14ac:dyDescent="0.35">
      <c r="A30">
        <v>43</v>
      </c>
      <c r="B30">
        <v>10</v>
      </c>
      <c r="C30">
        <v>23.7</v>
      </c>
      <c r="E30">
        <v>42</v>
      </c>
      <c r="F30">
        <v>12</v>
      </c>
      <c r="G30">
        <v>25</v>
      </c>
      <c r="O30" s="4"/>
      <c r="P30">
        <v>22</v>
      </c>
      <c r="Q30" s="6">
        <v>15.17</v>
      </c>
      <c r="S30" s="4"/>
    </row>
    <row r="31" spans="1:19" ht="13.15" x14ac:dyDescent="0.4">
      <c r="A31">
        <v>44</v>
      </c>
      <c r="B31">
        <v>10</v>
      </c>
      <c r="C31">
        <v>23.4</v>
      </c>
      <c r="E31">
        <v>43</v>
      </c>
      <c r="F31">
        <v>12</v>
      </c>
      <c r="G31">
        <v>24.8</v>
      </c>
      <c r="J31" s="1" t="s">
        <v>124</v>
      </c>
      <c r="O31" s="4"/>
      <c r="P31">
        <v>21</v>
      </c>
      <c r="Q31" s="6">
        <v>14.7</v>
      </c>
      <c r="S31" s="4"/>
    </row>
    <row r="32" spans="1:19" x14ac:dyDescent="0.35">
      <c r="A32">
        <v>45</v>
      </c>
      <c r="B32">
        <v>10</v>
      </c>
      <c r="C32">
        <v>23.1</v>
      </c>
      <c r="E32">
        <v>44</v>
      </c>
      <c r="F32">
        <v>12</v>
      </c>
      <c r="G32">
        <v>24.5</v>
      </c>
      <c r="K32" t="s">
        <v>17</v>
      </c>
      <c r="L32" t="s">
        <v>18</v>
      </c>
      <c r="M32" t="s">
        <v>19</v>
      </c>
      <c r="N32" t="s">
        <v>20</v>
      </c>
      <c r="O32" s="4"/>
      <c r="P32">
        <v>20</v>
      </c>
      <c r="Q32" s="6">
        <v>14.21</v>
      </c>
      <c r="S32" s="4"/>
    </row>
    <row r="33" spans="1:19" ht="13.15" x14ac:dyDescent="0.4">
      <c r="A33">
        <v>46</v>
      </c>
      <c r="B33">
        <v>10</v>
      </c>
      <c r="C33">
        <v>22.8</v>
      </c>
      <c r="E33">
        <v>45</v>
      </c>
      <c r="F33">
        <v>12</v>
      </c>
      <c r="G33">
        <v>24.2</v>
      </c>
      <c r="J33" s="1" t="s">
        <v>117</v>
      </c>
      <c r="K33" s="3">
        <f>IF('Optional ABPs'!B40="",DATA!K37,'Optional ABPs'!B40)</f>
        <v>42916</v>
      </c>
      <c r="L33" s="3">
        <f>IF('Optional ABPs'!C40="",DATA!L37,'Optional ABPs'!C40)</f>
        <v>42916</v>
      </c>
      <c r="M33" s="3">
        <f>IF('Optional ABPs'!D40="",DATA!M37,'Optional ABPs'!D40)</f>
        <v>42916</v>
      </c>
      <c r="N33" s="3">
        <f>IF('Optional ABPs'!E40="",DATA!N37,'Optional ABPs'!E40)</f>
        <v>42916</v>
      </c>
      <c r="O33" s="4"/>
      <c r="P33">
        <v>19</v>
      </c>
      <c r="Q33" s="6">
        <v>13.71</v>
      </c>
      <c r="S33" s="4"/>
    </row>
    <row r="34" spans="1:19" ht="13.15" x14ac:dyDescent="0.4">
      <c r="A34">
        <v>47</v>
      </c>
      <c r="B34">
        <v>10</v>
      </c>
      <c r="C34">
        <v>22.5</v>
      </c>
      <c r="E34">
        <v>46</v>
      </c>
      <c r="F34">
        <v>12</v>
      </c>
      <c r="G34">
        <v>24</v>
      </c>
      <c r="J34" s="1" t="s">
        <v>5</v>
      </c>
      <c r="K34" s="5">
        <f>(K33-'Optional ABPs'!B37)+1</f>
        <v>365</v>
      </c>
      <c r="L34" s="5">
        <f>(L33-'Optional ABPs'!C37)+1</f>
        <v>365</v>
      </c>
      <c r="M34" s="5">
        <f>(M33-'Optional ABPs'!D37)+1</f>
        <v>365</v>
      </c>
      <c r="N34" s="5">
        <f>(N33-'Optional ABPs'!E37)+1</f>
        <v>365</v>
      </c>
      <c r="O34" s="4"/>
      <c r="P34">
        <v>18</v>
      </c>
      <c r="Q34" s="6">
        <v>13.19</v>
      </c>
      <c r="S34" s="4"/>
    </row>
    <row r="35" spans="1:19" ht="13.15" x14ac:dyDescent="0.4">
      <c r="A35">
        <v>48</v>
      </c>
      <c r="B35">
        <v>10</v>
      </c>
      <c r="C35">
        <v>22.2</v>
      </c>
      <c r="E35">
        <v>47</v>
      </c>
      <c r="F35">
        <v>12</v>
      </c>
      <c r="G35">
        <v>23.7</v>
      </c>
      <c r="J35" s="1" t="s">
        <v>6</v>
      </c>
      <c r="K35">
        <f>K37-K36+1</f>
        <v>365</v>
      </c>
      <c r="L35">
        <f>L37-L36+1</f>
        <v>365</v>
      </c>
      <c r="M35">
        <f>M37-M36+1</f>
        <v>365</v>
      </c>
      <c r="N35">
        <f>N37-N36+1</f>
        <v>365</v>
      </c>
      <c r="O35" s="4"/>
      <c r="P35">
        <v>17</v>
      </c>
      <c r="Q35" s="6">
        <v>12.65</v>
      </c>
      <c r="S35" s="4"/>
    </row>
    <row r="36" spans="1:19" ht="13.15" x14ac:dyDescent="0.4">
      <c r="A36">
        <v>49</v>
      </c>
      <c r="B36">
        <v>10</v>
      </c>
      <c r="C36">
        <v>21.9</v>
      </c>
      <c r="E36">
        <v>48</v>
      </c>
      <c r="F36">
        <v>12</v>
      </c>
      <c r="G36">
        <v>23.4</v>
      </c>
      <c r="J36" s="1" t="s">
        <v>7</v>
      </c>
      <c r="K36" s="3">
        <f>DATE(IF(MONTH('Optional ABPs'!B37)&gt;6,YEAR('Optional ABPs'!B37),YEAR('Optional ABPs'!B37)-1),7,1)</f>
        <v>42552</v>
      </c>
      <c r="L36" s="3">
        <f>DATE(IF(MONTH('Optional ABPs'!C37)&gt;6,YEAR('Optional ABPs'!C37),YEAR('Optional ABPs'!C37)-1),7,1)</f>
        <v>42552</v>
      </c>
      <c r="M36" s="3">
        <f>DATE(IF(MONTH('Optional ABPs'!D37)&gt;6,YEAR('Optional ABPs'!D37),YEAR('Optional ABPs'!D37)-1),7,1)</f>
        <v>42552</v>
      </c>
      <c r="N36" s="3">
        <f>DATE(IF(MONTH('Optional ABPs'!E37)&gt;6,YEAR('Optional ABPs'!E37),YEAR('Optional ABPs'!E37)-1),7,1)</f>
        <v>42552</v>
      </c>
      <c r="O36" s="4"/>
      <c r="P36">
        <v>16</v>
      </c>
      <c r="Q36" s="6">
        <v>12.09</v>
      </c>
      <c r="S36" s="4"/>
    </row>
    <row r="37" spans="1:19" ht="13.15" x14ac:dyDescent="0.4">
      <c r="A37">
        <v>50</v>
      </c>
      <c r="B37">
        <v>9.9</v>
      </c>
      <c r="C37">
        <v>21.5</v>
      </c>
      <c r="E37">
        <v>49</v>
      </c>
      <c r="F37">
        <v>12</v>
      </c>
      <c r="G37">
        <v>23.1</v>
      </c>
      <c r="J37" s="1" t="s">
        <v>8</v>
      </c>
      <c r="K37" s="3">
        <f>DATE(IF(MONTH('Optional ABPs'!B37)&gt;6,YEAR('Optional ABPs'!B37)+1,YEAR('Optional ABPs'!B37)),6,30)</f>
        <v>42916</v>
      </c>
      <c r="L37" s="3">
        <f>DATE(IF(MONTH('Optional ABPs'!C37)&gt;6,YEAR('Optional ABPs'!C37)+1,YEAR('Optional ABPs'!C37)),6,30)</f>
        <v>42916</v>
      </c>
      <c r="M37" s="3">
        <f>DATE(IF(MONTH('Optional ABPs'!D37)&gt;6,YEAR('Optional ABPs'!D37)+1,YEAR('Optional ABPs'!D37)),6,30)</f>
        <v>42916</v>
      </c>
      <c r="N37" s="3">
        <f>DATE(IF(MONTH('Optional ABPs'!E37)&gt;6,YEAR('Optional ABPs'!E37)+1,YEAR('Optional ABPs'!E37)),6,30)</f>
        <v>42916</v>
      </c>
      <c r="O37" s="4"/>
      <c r="P37">
        <v>15</v>
      </c>
      <c r="Q37" s="6">
        <v>11.52</v>
      </c>
      <c r="S37" s="4"/>
    </row>
    <row r="38" spans="1:19" ht="13.15" x14ac:dyDescent="0.4">
      <c r="A38">
        <v>51</v>
      </c>
      <c r="B38">
        <v>9.9</v>
      </c>
      <c r="C38">
        <v>21.2</v>
      </c>
      <c r="E38">
        <v>50</v>
      </c>
      <c r="F38">
        <v>12</v>
      </c>
      <c r="G38">
        <v>22.8</v>
      </c>
      <c r="J38" s="1" t="s">
        <v>118</v>
      </c>
      <c r="K38">
        <f>IF('Optional ABPs'!B36&lt;&gt;"",INT(YEAR('Optional ABPs'!B37)-YEAR('Optional ABPs'!B36)+(MONTH('Optional ABPs'!B37)-MONTH('Optional ABPs'!B36))/12+(DAY('Optional ABPs'!B37)-DAY('Optional ABPs'!B36))/365),0)</f>
        <v>0</v>
      </c>
      <c r="L38">
        <f>IF('Optional ABPs'!C36&lt;&gt;"",INT(YEAR('Optional ABPs'!C37)-YEAR('Optional ABPs'!C36)+(MONTH('Optional ABPs'!C37)-MONTH('Optional ABPs'!C36))/12+(DAY('Optional ABPs'!C37)-DAY('Optional ABPs'!C36))/365),0)</f>
        <v>0</v>
      </c>
      <c r="M38">
        <f>IF('Optional ABPs'!D36&lt;&gt;"",INT(YEAR('Optional ABPs'!D37)-YEAR('Optional ABPs'!D36)+(MONTH('Optional ABPs'!D37)-MONTH('Optional ABPs'!D36))/12+(DAY('Optional ABPs'!D37)-DAY('Optional ABPs'!D36))/365),0)</f>
        <v>0</v>
      </c>
      <c r="N38">
        <f>IF('Optional ABPs'!E36&lt;&gt;"",INT(YEAR('Optional ABPs'!E37)-YEAR('Optional ABPs'!E36)+(MONTH('Optional ABPs'!E37)-MONTH('Optional ABPs'!E36))/12+(DAY('Optional ABPs'!E37)-DAY('Optional ABPs'!E36))/365),0)</f>
        <v>0</v>
      </c>
      <c r="O38" s="4"/>
      <c r="P38">
        <v>14</v>
      </c>
      <c r="Q38" s="6">
        <v>10.92</v>
      </c>
      <c r="S38" s="4"/>
    </row>
    <row r="39" spans="1:19" ht="13.15" x14ac:dyDescent="0.4">
      <c r="A39">
        <v>52</v>
      </c>
      <c r="B39">
        <v>9.8000000000000007</v>
      </c>
      <c r="C39">
        <v>20.9</v>
      </c>
      <c r="E39">
        <v>51</v>
      </c>
      <c r="F39">
        <v>11.9</v>
      </c>
      <c r="G39">
        <v>22.5</v>
      </c>
      <c r="J39" s="1" t="s">
        <v>112</v>
      </c>
      <c r="K39">
        <f>IF('Optional ABPs'!B38&lt;&gt;"",'Optional ABPs'!B38,0)</f>
        <v>0</v>
      </c>
      <c r="L39">
        <f>IF('Optional ABPs'!C38&lt;&gt;"",'Optional ABPs'!C38,0)</f>
        <v>0</v>
      </c>
      <c r="M39">
        <f>IF('Optional ABPs'!D38&lt;&gt;"",'Optional ABPs'!D38,0)</f>
        <v>0</v>
      </c>
      <c r="N39">
        <f>IF('Optional ABPs'!E38&lt;&gt;"",'Optional ABPs'!E38,0)</f>
        <v>0</v>
      </c>
      <c r="O39" s="4"/>
      <c r="P39">
        <v>13</v>
      </c>
      <c r="Q39" s="6">
        <v>10.3</v>
      </c>
    </row>
    <row r="40" spans="1:19" ht="13.15" x14ac:dyDescent="0.4">
      <c r="A40">
        <v>53</v>
      </c>
      <c r="B40">
        <v>9.6999999999999993</v>
      </c>
      <c r="C40">
        <v>20.5</v>
      </c>
      <c r="E40">
        <v>52</v>
      </c>
      <c r="F40">
        <v>11.8</v>
      </c>
      <c r="G40">
        <v>22.2</v>
      </c>
      <c r="J40" s="1" t="s">
        <v>119</v>
      </c>
      <c r="K40">
        <f>IF(K38&gt;0,VLOOKUP(K38,$S$7:$T$13,2,TRUE),0)</f>
        <v>0</v>
      </c>
      <c r="L40">
        <f>IF(L38&gt;0,VLOOKUP(L38,$S$7:$T$13,2,TRUE),0)</f>
        <v>0</v>
      </c>
      <c r="M40">
        <f>IF(M38&gt;0,VLOOKUP(M38,$S$7:$T$13,2,TRUE),0)</f>
        <v>0</v>
      </c>
      <c r="N40">
        <f>IF(N38&gt;0,VLOOKUP(N38,$S$7:$T$13,2,TRUE),0)</f>
        <v>0</v>
      </c>
      <c r="P40">
        <v>12</v>
      </c>
      <c r="Q40" s="6">
        <v>9.66</v>
      </c>
    </row>
    <row r="41" spans="1:19" ht="13.15" x14ac:dyDescent="0.4">
      <c r="A41">
        <v>54</v>
      </c>
      <c r="B41">
        <v>9.6999999999999993</v>
      </c>
      <c r="C41">
        <v>20.100000000000001</v>
      </c>
      <c r="E41">
        <v>53</v>
      </c>
      <c r="F41">
        <v>11.8</v>
      </c>
      <c r="G41">
        <v>21.8</v>
      </c>
      <c r="J41" s="1" t="s">
        <v>120</v>
      </c>
      <c r="K41">
        <f>IF('Optional ABPs'!B37&lt;(DATA!K37-29),ROUND(K39*K40*K34/K35/10,0)*10,0)</f>
        <v>0</v>
      </c>
      <c r="L41">
        <f>IF('Optional ABPs'!C37&lt;(DATA!L37-29),ROUND(L39*L40*L34/L35/10,0)*10,0)</f>
        <v>0</v>
      </c>
      <c r="M41">
        <f>IF('Optional ABPs'!D37&lt;(DATA!M37-29),ROUND(M39*M40*M34/M35/10,0)*10,0)</f>
        <v>0</v>
      </c>
      <c r="N41">
        <f>IF('Optional ABPs'!E37&lt;(DATA!N37-29),ROUND(N39*N40*N34/N35/10,0)*10,0)</f>
        <v>0</v>
      </c>
      <c r="P41">
        <v>11</v>
      </c>
      <c r="Q41" s="6">
        <v>9</v>
      </c>
    </row>
    <row r="42" spans="1:19" ht="13.15" x14ac:dyDescent="0.4">
      <c r="A42">
        <v>55</v>
      </c>
      <c r="B42">
        <v>9.6</v>
      </c>
      <c r="C42">
        <v>19.8</v>
      </c>
      <c r="E42">
        <v>54</v>
      </c>
      <c r="F42">
        <v>11.7</v>
      </c>
      <c r="G42">
        <v>21.5</v>
      </c>
      <c r="J42" s="1" t="s">
        <v>121</v>
      </c>
      <c r="K42" s="25">
        <f>IF('Optional ABPs'!B39="N",K39,IF(K38&lt;65,0.1*K39,K39))</f>
        <v>0</v>
      </c>
      <c r="L42" s="25">
        <f>IF('Optional ABPs'!C39="N",L39,IF(L38&lt;65,0.1*L39,L39))</f>
        <v>0</v>
      </c>
      <c r="M42" s="25">
        <f>IF('Optional ABPs'!D39="N",M39,IF(M38&lt;65,0.1*M39,M39))</f>
        <v>0</v>
      </c>
      <c r="N42" s="25">
        <f>IF('Optional ABPs'!E39="N",N39,IF(N38&lt;65,0.1*N39,N39))</f>
        <v>0</v>
      </c>
      <c r="P42">
        <v>10</v>
      </c>
      <c r="Q42" s="6">
        <v>8.32</v>
      </c>
    </row>
    <row r="43" spans="1:19" x14ac:dyDescent="0.35">
      <c r="A43">
        <v>56</v>
      </c>
      <c r="B43">
        <v>9.5</v>
      </c>
      <c r="C43">
        <v>19.399999999999999</v>
      </c>
      <c r="E43">
        <v>55</v>
      </c>
      <c r="F43">
        <v>11.5</v>
      </c>
      <c r="G43">
        <v>21.1</v>
      </c>
      <c r="P43">
        <v>9</v>
      </c>
      <c r="Q43" s="6">
        <v>7.61</v>
      </c>
    </row>
    <row r="44" spans="1:19" ht="13.15" x14ac:dyDescent="0.4">
      <c r="A44">
        <v>57</v>
      </c>
      <c r="B44">
        <v>9.4</v>
      </c>
      <c r="C44">
        <v>19</v>
      </c>
      <c r="E44">
        <v>56</v>
      </c>
      <c r="F44">
        <v>11.4</v>
      </c>
      <c r="G44">
        <v>20.8</v>
      </c>
      <c r="J44" s="1" t="s">
        <v>123</v>
      </c>
      <c r="P44">
        <v>8</v>
      </c>
      <c r="Q44" s="6">
        <v>6.87</v>
      </c>
    </row>
    <row r="45" spans="1:19" x14ac:dyDescent="0.35">
      <c r="A45">
        <v>58</v>
      </c>
      <c r="B45">
        <v>9.3000000000000007</v>
      </c>
      <c r="C45">
        <v>18.600000000000001</v>
      </c>
      <c r="E45">
        <v>57</v>
      </c>
      <c r="F45">
        <v>11.3</v>
      </c>
      <c r="G45">
        <v>20.399999999999999</v>
      </c>
      <c r="K45" t="s">
        <v>17</v>
      </c>
      <c r="L45" t="s">
        <v>18</v>
      </c>
      <c r="M45" t="s">
        <v>19</v>
      </c>
      <c r="N45" t="s">
        <v>20</v>
      </c>
      <c r="P45">
        <v>7</v>
      </c>
      <c r="Q45" s="6">
        <v>6.11</v>
      </c>
    </row>
    <row r="46" spans="1:19" ht="13.15" x14ac:dyDescent="0.4">
      <c r="A46">
        <v>59</v>
      </c>
      <c r="B46">
        <v>9.1</v>
      </c>
      <c r="C46">
        <v>18.2</v>
      </c>
      <c r="E46">
        <v>58</v>
      </c>
      <c r="F46">
        <v>11.2</v>
      </c>
      <c r="G46">
        <v>20.100000000000001</v>
      </c>
      <c r="J46" s="1" t="s">
        <v>117</v>
      </c>
      <c r="K46" s="3">
        <f>IF('Optional ABPs'!B54="",DATA!K50,'Optional ABPs'!B54)</f>
        <v>42916</v>
      </c>
      <c r="L46" s="3">
        <f>IF('Optional ABPs'!C54="",DATA!L50,'Optional ABPs'!C54)</f>
        <v>42916</v>
      </c>
      <c r="M46" s="3">
        <f>IF('Optional ABPs'!D54="",DATA!M50,'Optional ABPs'!D54)</f>
        <v>42916</v>
      </c>
      <c r="N46" s="3">
        <f>IF('Optional ABPs'!E54="",DATA!N50,'Optional ABPs'!E54)</f>
        <v>42916</v>
      </c>
      <c r="P46">
        <v>6</v>
      </c>
      <c r="Q46" s="6">
        <v>5.33</v>
      </c>
    </row>
    <row r="47" spans="1:19" ht="13.15" x14ac:dyDescent="0.4">
      <c r="A47">
        <v>60</v>
      </c>
      <c r="B47">
        <v>9</v>
      </c>
      <c r="C47">
        <v>17.8</v>
      </c>
      <c r="E47">
        <v>59</v>
      </c>
      <c r="F47">
        <v>11</v>
      </c>
      <c r="G47">
        <v>19.7</v>
      </c>
      <c r="J47" s="1" t="s">
        <v>5</v>
      </c>
      <c r="K47" s="5">
        <f>(K46-'Optional ABPs'!B51)+1</f>
        <v>365</v>
      </c>
      <c r="L47" s="5">
        <f>(L46-'Optional ABPs'!C51)+1</f>
        <v>365</v>
      </c>
      <c r="M47" s="5">
        <f>(M46-'Optional ABPs'!D51)+1</f>
        <v>365</v>
      </c>
      <c r="N47" s="5">
        <f>(N46-'Optional ABPs'!E51)+1</f>
        <v>365</v>
      </c>
      <c r="P47">
        <v>5</v>
      </c>
      <c r="Q47" s="6">
        <v>4.5199999999999996</v>
      </c>
    </row>
    <row r="48" spans="1:19" ht="13.15" x14ac:dyDescent="0.4">
      <c r="A48">
        <v>61</v>
      </c>
      <c r="B48">
        <v>8.9</v>
      </c>
      <c r="C48">
        <v>17.399999999999999</v>
      </c>
      <c r="E48">
        <v>60</v>
      </c>
      <c r="F48">
        <v>10.9</v>
      </c>
      <c r="G48">
        <v>19.3</v>
      </c>
      <c r="J48" s="1" t="s">
        <v>6</v>
      </c>
      <c r="K48">
        <f>K50-K49+1</f>
        <v>365</v>
      </c>
      <c r="L48">
        <f>L50-L49+1</f>
        <v>365</v>
      </c>
      <c r="M48">
        <f>M50-M49+1</f>
        <v>365</v>
      </c>
      <c r="N48">
        <f>N50-N49+1</f>
        <v>365</v>
      </c>
      <c r="P48">
        <v>4</v>
      </c>
      <c r="Q48" s="6">
        <v>3.67</v>
      </c>
    </row>
    <row r="49" spans="1:17" ht="13.15" x14ac:dyDescent="0.4">
      <c r="A49">
        <v>62</v>
      </c>
      <c r="B49">
        <v>8.6999999999999993</v>
      </c>
      <c r="C49">
        <v>17</v>
      </c>
      <c r="E49">
        <v>61</v>
      </c>
      <c r="F49">
        <v>10.7</v>
      </c>
      <c r="G49">
        <v>18.899999999999999</v>
      </c>
      <c r="J49" s="1" t="s">
        <v>7</v>
      </c>
      <c r="K49" s="3">
        <f>DATE(IF(MONTH('Optional ABPs'!B51)&gt;6,YEAR('Optional ABPs'!B51),YEAR('Optional ABPs'!B51)-1),7,1)</f>
        <v>42552</v>
      </c>
      <c r="L49" s="3">
        <f>DATE(IF(MONTH('Optional ABPs'!C51)&gt;6,YEAR('Optional ABPs'!C51),YEAR('Optional ABPs'!C51)-1),7,1)</f>
        <v>42552</v>
      </c>
      <c r="M49" s="3">
        <f>DATE(IF(MONTH('Optional ABPs'!D51)&gt;6,YEAR('Optional ABPs'!D51),YEAR('Optional ABPs'!D51)-1),7,1)</f>
        <v>42552</v>
      </c>
      <c r="N49" s="3">
        <f>DATE(IF(MONTH('Optional ABPs'!E51)&gt;6,YEAR('Optional ABPs'!E51),YEAR('Optional ABPs'!E51)-1),7,1)</f>
        <v>42552</v>
      </c>
      <c r="P49">
        <v>3</v>
      </c>
      <c r="Q49" s="6">
        <v>2.8</v>
      </c>
    </row>
    <row r="50" spans="1:17" ht="13.15" x14ac:dyDescent="0.4">
      <c r="A50">
        <v>63</v>
      </c>
      <c r="B50">
        <v>8.5</v>
      </c>
      <c r="C50">
        <v>16.600000000000001</v>
      </c>
      <c r="E50">
        <v>62</v>
      </c>
      <c r="F50">
        <v>10.5</v>
      </c>
      <c r="G50">
        <v>18.5</v>
      </c>
      <c r="J50" s="1" t="s">
        <v>8</v>
      </c>
      <c r="K50" s="3">
        <f>DATE(IF(MONTH('Optional ABPs'!B51)&gt;6,YEAR('Optional ABPs'!B51)+1,YEAR('Optional ABPs'!B51)),6,30)</f>
        <v>42916</v>
      </c>
      <c r="L50" s="3">
        <f>DATE(IF(MONTH('Optional ABPs'!C51)&gt;6,YEAR('Optional ABPs'!C51)+1,YEAR('Optional ABPs'!C51)),6,30)</f>
        <v>42916</v>
      </c>
      <c r="M50" s="3">
        <f>DATE(IF(MONTH('Optional ABPs'!D51)&gt;6,YEAR('Optional ABPs'!D51)+1,YEAR('Optional ABPs'!D51)),6,30)</f>
        <v>42916</v>
      </c>
      <c r="N50" s="3">
        <f>DATE(IF(MONTH('Optional ABPs'!E51)&gt;6,YEAR('Optional ABPs'!E51)+1,YEAR('Optional ABPs'!E51)),6,30)</f>
        <v>42916</v>
      </c>
      <c r="P50">
        <v>2</v>
      </c>
      <c r="Q50" s="6">
        <v>1.9</v>
      </c>
    </row>
    <row r="51" spans="1:17" ht="13.15" x14ac:dyDescent="0.4">
      <c r="A51">
        <v>64</v>
      </c>
      <c r="B51">
        <v>8.3000000000000007</v>
      </c>
      <c r="C51">
        <v>16.2</v>
      </c>
      <c r="E51">
        <v>63</v>
      </c>
      <c r="F51">
        <v>10.3</v>
      </c>
      <c r="G51">
        <v>18.100000000000001</v>
      </c>
      <c r="J51" s="1" t="s">
        <v>118</v>
      </c>
      <c r="K51">
        <f>IF('Optional ABPs'!B50&lt;&gt;"",INT(YEAR('Optional ABPs'!B51)-YEAR('Optional ABPs'!B50)+(MONTH('Optional ABPs'!B51)-MONTH('Optional ABPs'!B50))/12+(DAY('Optional ABPs'!B51)-DAY('Optional ABPs'!B50))/365),0)</f>
        <v>0</v>
      </c>
      <c r="L51">
        <f>IF('Optional ABPs'!C50&lt;&gt;"",INT(YEAR('Optional ABPs'!C51)-YEAR('Optional ABPs'!C50)+(MONTH('Optional ABPs'!C51)-MONTH('Optional ABPs'!C50))/12+(DAY('Optional ABPs'!C51)-DAY('Optional ABPs'!C50))/365),0)</f>
        <v>0</v>
      </c>
      <c r="M51">
        <f>IF('Optional ABPs'!D50&lt;&gt;"",INT(YEAR('Optional ABPs'!D51)-YEAR('Optional ABPs'!D50)+(MONTH('Optional ABPs'!D51)-MONTH('Optional ABPs'!D50))/12+(DAY('Optional ABPs'!D51)-DAY('Optional ABPs'!D50))/365),0)</f>
        <v>0</v>
      </c>
      <c r="N51">
        <f>IF('Optional ABPs'!E50&lt;&gt;"",INT(YEAR('Optional ABPs'!E51)-YEAR('Optional ABPs'!E50)+(MONTH('Optional ABPs'!E51)-MONTH('Optional ABPs'!E50))/12+(DAY('Optional ABPs'!E51)-DAY('Optional ABPs'!E50))/365),0)</f>
        <v>0</v>
      </c>
      <c r="P51">
        <v>1</v>
      </c>
      <c r="Q51" s="6">
        <v>1</v>
      </c>
    </row>
    <row r="52" spans="1:17" ht="13.15" x14ac:dyDescent="0.4">
      <c r="A52">
        <v>65</v>
      </c>
      <c r="B52">
        <v>8.1</v>
      </c>
      <c r="C52">
        <v>15.7</v>
      </c>
      <c r="E52">
        <v>64</v>
      </c>
      <c r="F52">
        <v>10.1</v>
      </c>
      <c r="G52">
        <v>17.7</v>
      </c>
      <c r="J52" s="1" t="s">
        <v>112</v>
      </c>
      <c r="K52">
        <f>IF('Optional ABPs'!B52&lt;&gt;"",'Optional ABPs'!B52,0)</f>
        <v>0</v>
      </c>
      <c r="L52">
        <f>IF('Optional ABPs'!C52&lt;&gt;"",'Optional ABPs'!C52,0)</f>
        <v>0</v>
      </c>
      <c r="M52">
        <f>IF('Optional ABPs'!D52&lt;&gt;"",'Optional ABPs'!D52,0)</f>
        <v>0</v>
      </c>
      <c r="N52">
        <f>IF('Optional ABPs'!E52&lt;&gt;"",'Optional ABPs'!E52,0)</f>
        <v>0</v>
      </c>
    </row>
    <row r="53" spans="1:17" ht="13.15" x14ac:dyDescent="0.4">
      <c r="A53">
        <v>66</v>
      </c>
      <c r="B53">
        <v>7.9</v>
      </c>
      <c r="C53">
        <v>15.3</v>
      </c>
      <c r="E53">
        <v>65</v>
      </c>
      <c r="F53">
        <v>9.9</v>
      </c>
      <c r="G53">
        <v>17.3</v>
      </c>
      <c r="J53" s="1" t="s">
        <v>119</v>
      </c>
      <c r="K53">
        <f>IF(K51&gt;0,VLOOKUP(K51,$S$7:$T$13,2,TRUE),0)</f>
        <v>0</v>
      </c>
      <c r="L53">
        <f>IF(L51&gt;0,VLOOKUP(L51,$S$7:$T$13,2,TRUE),0)</f>
        <v>0</v>
      </c>
      <c r="M53">
        <f>IF(M51&gt;0,VLOOKUP(M51,$S$7:$T$13,2,TRUE),0)</f>
        <v>0</v>
      </c>
      <c r="N53">
        <f>IF(N51&gt;0,VLOOKUP(N51,$S$7:$T$13,2,TRUE),0)</f>
        <v>0</v>
      </c>
    </row>
    <row r="54" spans="1:17" ht="13.15" x14ac:dyDescent="0.4">
      <c r="A54">
        <v>67</v>
      </c>
      <c r="B54">
        <v>7.6</v>
      </c>
      <c r="C54">
        <v>14.9</v>
      </c>
      <c r="E54">
        <v>66</v>
      </c>
      <c r="F54">
        <v>9.6</v>
      </c>
      <c r="G54">
        <v>16.8</v>
      </c>
      <c r="J54" s="1" t="s">
        <v>120</v>
      </c>
      <c r="K54">
        <f>IF('Optional ABPs'!B51&lt;(DATA!K50-29),ROUND(K52*K53*K47/K48/10,0)*10,0)</f>
        <v>0</v>
      </c>
      <c r="L54">
        <f>IF('Optional ABPs'!C51&lt;(DATA!L50-29),ROUND(L52*L53*L47/L48/10,0)*10,0)</f>
        <v>0</v>
      </c>
      <c r="M54">
        <f>IF('Optional ABPs'!D51&lt;(DATA!M50-29),ROUND(M52*M53*M47/M48/10,0)*10,0)</f>
        <v>0</v>
      </c>
      <c r="N54">
        <f>IF('Optional ABPs'!E51&lt;(DATA!N50-29),ROUND(N52*N53*N47/N48/10,0)*10,0)</f>
        <v>0</v>
      </c>
    </row>
    <row r="55" spans="1:17" ht="13.15" x14ac:dyDescent="0.4">
      <c r="A55">
        <v>68</v>
      </c>
      <c r="B55">
        <v>7.3</v>
      </c>
      <c r="C55">
        <v>14.4</v>
      </c>
      <c r="E55">
        <v>67</v>
      </c>
      <c r="F55">
        <v>9.3000000000000007</v>
      </c>
      <c r="G55">
        <v>16.399999999999999</v>
      </c>
      <c r="J55" s="1" t="s">
        <v>121</v>
      </c>
      <c r="K55" s="25">
        <f>IF('Optional ABPs'!B53="N",K52,IF(K51&lt;65,0.1*K52,K52))</f>
        <v>0</v>
      </c>
      <c r="L55" s="25">
        <f>IF('Optional ABPs'!C53="N",L52,IF(L51&lt;65,0.1*L52,L52))</f>
        <v>0</v>
      </c>
      <c r="M55" s="25">
        <f>IF('Optional ABPs'!D53="N",M52,IF(M51&lt;65,0.1*M52,M52))</f>
        <v>0</v>
      </c>
      <c r="N55" s="25">
        <f>IF('Optional ABPs'!E53="N",N52,IF(N51&lt;65,0.1*N52,N52))</f>
        <v>0</v>
      </c>
    </row>
    <row r="56" spans="1:17" x14ac:dyDescent="0.35">
      <c r="A56">
        <v>69</v>
      </c>
      <c r="B56">
        <v>7</v>
      </c>
      <c r="C56">
        <v>14</v>
      </c>
      <c r="E56">
        <v>68</v>
      </c>
      <c r="F56">
        <v>9.1</v>
      </c>
      <c r="G56">
        <v>16</v>
      </c>
    </row>
    <row r="57" spans="1:17" ht="13.15" x14ac:dyDescent="0.4">
      <c r="A57">
        <v>70</v>
      </c>
      <c r="B57">
        <v>6.6</v>
      </c>
      <c r="C57">
        <v>13.5</v>
      </c>
      <c r="E57">
        <v>69</v>
      </c>
      <c r="F57">
        <v>8.6999999999999993</v>
      </c>
      <c r="G57">
        <v>15.5</v>
      </c>
      <c r="J57" s="1" t="s">
        <v>142</v>
      </c>
      <c r="K57">
        <f>IF(('Optional ABPs'!B13-K15)&gt;=0,0,IF(('Optional ABPs'!B13-K15)&gt;-11,1,2))</f>
        <v>0</v>
      </c>
      <c r="L57">
        <f>IF(('Optional ABPs'!C13-L15)&gt;=0,0,IF(('Optional ABPs'!C13-L15)&gt;-11,1,2))</f>
        <v>0</v>
      </c>
      <c r="M57">
        <f>IF(('Optional ABPs'!D13-M15)&gt;=0,0,IF(('Optional ABPs'!D13-M15)&gt;-11,1,2))</f>
        <v>0</v>
      </c>
      <c r="N57">
        <f>IF(('Optional ABPs'!E13-N15)&gt;=0,0,IF(('Optional ABPs'!E13-N15)&gt;-11,1,2))</f>
        <v>0</v>
      </c>
    </row>
    <row r="58" spans="1:17" ht="13.15" x14ac:dyDescent="0.4">
      <c r="A58">
        <v>71</v>
      </c>
      <c r="B58">
        <v>6.2</v>
      </c>
      <c r="C58">
        <v>13.1</v>
      </c>
      <c r="E58">
        <v>70</v>
      </c>
      <c r="F58">
        <v>8.4</v>
      </c>
      <c r="G58">
        <v>15.1</v>
      </c>
      <c r="J58" s="1" t="s">
        <v>133</v>
      </c>
      <c r="K58">
        <f>IF(('Optional ABPs'!B27-K28)&gt;=0,0,IF(('Optional ABPs'!B27-K28)&gt;-11,1,2))</f>
        <v>0</v>
      </c>
      <c r="L58">
        <f>IF(('Optional ABPs'!C27-L28)&gt;=0,0,IF(('Optional ABPs'!C27-L28)&gt;-11,1,2))</f>
        <v>0</v>
      </c>
      <c r="M58">
        <f>IF(('Optional ABPs'!D27-M28)&gt;=0,0,IF(('Optional ABPs'!D27-M28)&gt;-11,1,2))</f>
        <v>0</v>
      </c>
      <c r="N58">
        <f>IF(('Optional ABPs'!E27-N28)&gt;=0,0,IF(('Optional ABPs'!E27-N28)&gt;-11,1,2))</f>
        <v>0</v>
      </c>
    </row>
    <row r="59" spans="1:17" ht="13.15" x14ac:dyDescent="0.4">
      <c r="A59">
        <v>72</v>
      </c>
      <c r="B59">
        <v>5.8</v>
      </c>
      <c r="C59">
        <v>12.6</v>
      </c>
      <c r="E59">
        <v>71</v>
      </c>
      <c r="F59">
        <v>8</v>
      </c>
      <c r="G59">
        <v>14.6</v>
      </c>
      <c r="J59" s="1" t="s">
        <v>134</v>
      </c>
      <c r="K59">
        <f>IF(('Optional ABPs'!B41-K41)&gt;=0,0,IF(('Optional ABPs'!B41-K41)&gt;-11,1,2))</f>
        <v>0</v>
      </c>
      <c r="L59">
        <f>IF(('Optional ABPs'!C41-L41)&gt;=0,0,IF(('Optional ABPs'!C41-L41)&gt;-11,1,2))</f>
        <v>0</v>
      </c>
      <c r="M59">
        <f>IF(('Optional ABPs'!D41-M41)&gt;=0,0,IF(('Optional ABPs'!D41-M41)&gt;-11,1,2))</f>
        <v>0</v>
      </c>
      <c r="N59">
        <f>IF(('Optional ABPs'!E41-N41)&gt;=0,0,IF(('Optional ABPs'!E41-N41)&gt;-11,1,2))</f>
        <v>0</v>
      </c>
    </row>
    <row r="60" spans="1:17" ht="13.15" x14ac:dyDescent="0.4">
      <c r="A60">
        <v>73</v>
      </c>
      <c r="B60">
        <v>5.4</v>
      </c>
      <c r="C60">
        <v>12.2</v>
      </c>
      <c r="E60">
        <v>72</v>
      </c>
      <c r="F60">
        <v>7.6</v>
      </c>
      <c r="G60">
        <v>14.2</v>
      </c>
      <c r="J60" s="1" t="s">
        <v>135</v>
      </c>
      <c r="K60">
        <f>IF(('Optional ABPs'!B55-K54)&gt;=0,0,IF(('Optional ABPs'!B55-K54)&gt;-11,1,2))</f>
        <v>0</v>
      </c>
      <c r="L60">
        <f>IF(('Optional ABPs'!C55-L54)&gt;=0,0,IF(('Optional ABPs'!C55-L54)&gt;-11,1,2))</f>
        <v>0</v>
      </c>
      <c r="M60">
        <f>IF(('Optional ABPs'!D55-M54)&gt;=0,0,IF(('Optional ABPs'!D55-M54)&gt;-11,1,2))</f>
        <v>0</v>
      </c>
      <c r="N60">
        <f>IF(('Optional ABPs'!E55-N54)&gt;=0,0,IF(('Optional ABPs'!E55-N54)&gt;-11,1,2))</f>
        <v>0</v>
      </c>
    </row>
    <row r="61" spans="1:17" x14ac:dyDescent="0.35">
      <c r="A61">
        <v>74</v>
      </c>
      <c r="B61">
        <v>4.8</v>
      </c>
      <c r="C61">
        <v>11.7</v>
      </c>
      <c r="E61">
        <v>73</v>
      </c>
      <c r="F61">
        <v>7.2</v>
      </c>
      <c r="G61">
        <v>13.7</v>
      </c>
    </row>
    <row r="62" spans="1:17" ht="13.15" x14ac:dyDescent="0.4">
      <c r="A62">
        <v>75</v>
      </c>
      <c r="B62">
        <v>4.3</v>
      </c>
      <c r="C62">
        <v>11.3</v>
      </c>
      <c r="E62">
        <v>74</v>
      </c>
      <c r="F62">
        <v>6.7</v>
      </c>
      <c r="G62">
        <v>13.3</v>
      </c>
      <c r="J62" s="1" t="s">
        <v>143</v>
      </c>
      <c r="K62" s="25">
        <f>IF(UPPER('Optional ABPs'!B11)="Y",IF((K16-'Optional ABPs'!B13)&gt;=0,0,IF((K16-'Optional ABPs'!B13)&gt;-11,1,2)),0)</f>
        <v>0</v>
      </c>
      <c r="L62" s="25">
        <f>IF(UPPER('Optional ABPs'!C11)="Y",IF((L16-'Optional ABPs'!C13)&gt;=0,0,IF((L16-'Optional ABPs'!C13)&gt;-11,1,2)),0)</f>
        <v>0</v>
      </c>
      <c r="M62" s="25">
        <f>IF(UPPER('Optional ABPs'!D11)="Y",IF((M16-'Optional ABPs'!D13)&gt;=0,0,IF((M16-'Optional ABPs'!D13)&gt;-11,1,2)),0)</f>
        <v>0</v>
      </c>
      <c r="N62" s="25">
        <f>IF(UPPER('Optional ABPs'!E11)="Y",IF((N16-'Optional ABPs'!E13)&gt;=0,0,IF((N16-'Optional ABPs'!E13)&gt;-11,1,2)),0)</f>
        <v>0</v>
      </c>
    </row>
    <row r="63" spans="1:17" ht="13.15" x14ac:dyDescent="0.4">
      <c r="A63">
        <v>76</v>
      </c>
      <c r="B63">
        <v>3.7</v>
      </c>
      <c r="C63">
        <v>10.8</v>
      </c>
      <c r="E63">
        <v>75</v>
      </c>
      <c r="F63">
        <v>6.2</v>
      </c>
      <c r="G63">
        <v>12.8</v>
      </c>
      <c r="J63" s="1" t="s">
        <v>139</v>
      </c>
      <c r="K63" s="25">
        <f>IF(UPPER('Optional ABPs'!B25)="Y",IF((K29-'Optional ABPs'!B27)&gt;=0,0,IF((K29-'Optional ABPs'!B27)&gt;-11,1,2)),0)</f>
        <v>0</v>
      </c>
      <c r="L63" s="25">
        <f>IF(UPPER('Optional ABPs'!C25)="Y",IF((L29-'Optional ABPs'!C27)&gt;=0,0,IF((L29-'Optional ABPs'!C27)&gt;-11,1,2)),0)</f>
        <v>0</v>
      </c>
      <c r="M63" s="25">
        <f>IF(UPPER('Optional ABPs'!D25)="Y",IF((M29-'Optional ABPs'!D27)&gt;=0,0,IF((M29-'Optional ABPs'!D27)&gt;-11,1,2)),0)</f>
        <v>0</v>
      </c>
      <c r="N63" s="25">
        <f>IF(UPPER('Optional ABPs'!E25)="Y",IF((N29-'Optional ABPs'!E27)&gt;=0,0,IF((N29-'Optional ABPs'!E27)&gt;-11,1,2)),0)</f>
        <v>0</v>
      </c>
    </row>
    <row r="64" spans="1:17" ht="13.15" x14ac:dyDescent="0.4">
      <c r="A64">
        <v>77</v>
      </c>
      <c r="B64">
        <v>3</v>
      </c>
      <c r="C64">
        <v>10.4</v>
      </c>
      <c r="E64">
        <v>76</v>
      </c>
      <c r="F64">
        <v>5.7</v>
      </c>
      <c r="G64">
        <v>12.3</v>
      </c>
      <c r="J64" s="1" t="s">
        <v>140</v>
      </c>
      <c r="K64" s="25">
        <f>IF(UPPER('Optional ABPs'!B39)="Y",IF((K42-'Optional ABPs'!B41)&gt;=0,0,IF((K42-'Optional ABPs'!B41)&gt;-11,1,2)),0)</f>
        <v>0</v>
      </c>
      <c r="L64" s="25">
        <f>IF(UPPER('Optional ABPs'!C39)="Y",IF((L42-'Optional ABPs'!C41)&gt;=0,0,IF((L42-'Optional ABPs'!C41)&gt;-11,1,2)),0)</f>
        <v>0</v>
      </c>
      <c r="M64" s="25">
        <f>IF(UPPER('Optional ABPs'!D39)="Y",IF((M42-'Optional ABPs'!D41)&gt;=0,0,IF((M42-'Optional ABPs'!D41)&gt;-11,1,2)),0)</f>
        <v>0</v>
      </c>
      <c r="N64" s="25">
        <f>IF(UPPER('Optional ABPs'!E39)="Y",IF((N42-'Optional ABPs'!E41)&gt;=0,0,IF((N42-'Optional ABPs'!E41)&gt;-11,1,2)),0)</f>
        <v>0</v>
      </c>
    </row>
    <row r="65" spans="1:14" ht="13.15" x14ac:dyDescent="0.4">
      <c r="A65">
        <v>78</v>
      </c>
      <c r="B65">
        <v>2.2000000000000002</v>
      </c>
      <c r="C65">
        <v>10</v>
      </c>
      <c r="E65">
        <v>77</v>
      </c>
      <c r="F65">
        <v>5.0999999999999996</v>
      </c>
      <c r="G65">
        <v>11.9</v>
      </c>
      <c r="J65" s="1" t="s">
        <v>141</v>
      </c>
      <c r="K65" s="25">
        <f>IF('Optional ABPs'!B53="Y",IF((K55-'Optional ABPs'!B55)&gt;=0,0,IF((K55-'Optional ABPs'!B55)&gt;-11,1,2)),0)</f>
        <v>0</v>
      </c>
      <c r="L65" s="25">
        <f>IF('Optional ABPs'!C53="Y",IF((L55-'Optional ABPs'!C55)&gt;=0,0,IF((L55-'Optional ABPs'!C55)&gt;-11,1,2)),0)</f>
        <v>0</v>
      </c>
      <c r="M65" s="25">
        <f>IF('Optional ABPs'!D53="Y",IF((M55-'Optional ABPs'!D55)&gt;=0,0,IF((M55-'Optional ABPs'!D55)&gt;-11,1,2)),0)</f>
        <v>0</v>
      </c>
      <c r="N65" s="25">
        <f>IF('Optional ABPs'!E53="Y",IF((N55-'Optional ABPs'!E55)&gt;=0,0,IF((N55-'Optional ABPs'!E55)&gt;-11,1,2)),0)</f>
        <v>0</v>
      </c>
    </row>
    <row r="66" spans="1:14" x14ac:dyDescent="0.35">
      <c r="A66">
        <v>79</v>
      </c>
      <c r="B66">
        <v>1.4</v>
      </c>
      <c r="C66">
        <v>9.5</v>
      </c>
      <c r="E66">
        <v>78</v>
      </c>
      <c r="F66">
        <v>4.5</v>
      </c>
      <c r="G66">
        <v>11.4</v>
      </c>
    </row>
    <row r="67" spans="1:14" ht="13.15" x14ac:dyDescent="0.4">
      <c r="A67">
        <v>80</v>
      </c>
      <c r="B67">
        <v>1</v>
      </c>
      <c r="C67">
        <v>9.1</v>
      </c>
      <c r="E67">
        <v>79</v>
      </c>
      <c r="F67">
        <v>3.8</v>
      </c>
      <c r="G67">
        <v>10.9</v>
      </c>
      <c r="J67" s="1" t="s">
        <v>144</v>
      </c>
      <c r="K67" s="25" t="str">
        <f>IF((K57+K62)&gt;0,IF((K57+K62)&gt;1,"WARNING",""),"OK")</f>
        <v>OK</v>
      </c>
      <c r="L67" s="25" t="str">
        <f t="shared" ref="L67:N70" si="0">IF((L57+L62)&gt;0,IF((L57+L62)&gt;1,"WARNING",""),"OK")</f>
        <v>OK</v>
      </c>
      <c r="M67" s="25" t="str">
        <f t="shared" si="0"/>
        <v>OK</v>
      </c>
      <c r="N67" s="25" t="str">
        <f t="shared" si="0"/>
        <v>OK</v>
      </c>
    </row>
    <row r="68" spans="1:14" ht="13.15" x14ac:dyDescent="0.4">
      <c r="A68">
        <v>81</v>
      </c>
      <c r="B68">
        <v>1</v>
      </c>
      <c r="C68">
        <v>8.6999999999999993</v>
      </c>
      <c r="E68">
        <v>80</v>
      </c>
      <c r="F68">
        <v>3.1</v>
      </c>
      <c r="G68">
        <v>10.5</v>
      </c>
      <c r="J68" s="1" t="s">
        <v>136</v>
      </c>
      <c r="K68" s="25" t="str">
        <f>IF((K58+K63)&gt;0,IF((K58+K63)&gt;1,"WARNING",""),"OK")</f>
        <v>OK</v>
      </c>
      <c r="L68" s="25" t="str">
        <f t="shared" si="0"/>
        <v>OK</v>
      </c>
      <c r="M68" s="25" t="str">
        <f t="shared" si="0"/>
        <v>OK</v>
      </c>
      <c r="N68" s="25" t="str">
        <f t="shared" si="0"/>
        <v>OK</v>
      </c>
    </row>
    <row r="69" spans="1:14" ht="13.15" x14ac:dyDescent="0.4">
      <c r="A69">
        <v>82</v>
      </c>
      <c r="B69">
        <v>1</v>
      </c>
      <c r="C69">
        <v>8.3000000000000007</v>
      </c>
      <c r="E69">
        <v>81</v>
      </c>
      <c r="F69">
        <v>2.2999999999999998</v>
      </c>
      <c r="G69">
        <v>10</v>
      </c>
      <c r="J69" s="1" t="s">
        <v>137</v>
      </c>
      <c r="K69" s="25" t="str">
        <f>IF((K59+K64)&gt;0,IF((K59+K64)&gt;1,"WARNING",""),"OK")</f>
        <v>OK</v>
      </c>
      <c r="L69" s="25" t="str">
        <f t="shared" si="0"/>
        <v>OK</v>
      </c>
      <c r="M69" s="25" t="str">
        <f t="shared" si="0"/>
        <v>OK</v>
      </c>
      <c r="N69" s="25" t="str">
        <f t="shared" si="0"/>
        <v>OK</v>
      </c>
    </row>
    <row r="70" spans="1:14" ht="13.15" x14ac:dyDescent="0.4">
      <c r="A70">
        <v>83</v>
      </c>
      <c r="B70">
        <v>1</v>
      </c>
      <c r="C70">
        <v>7.9</v>
      </c>
      <c r="E70">
        <v>82</v>
      </c>
      <c r="F70">
        <v>1.4</v>
      </c>
      <c r="G70">
        <v>9.6</v>
      </c>
      <c r="J70" s="1" t="s">
        <v>138</v>
      </c>
      <c r="K70" s="25" t="str">
        <f>IF((K60+K65)&gt;0,IF((K60+K65)&gt;1,"WARNING",""),"OK")</f>
        <v>OK</v>
      </c>
      <c r="L70" s="25" t="str">
        <f t="shared" si="0"/>
        <v>OK</v>
      </c>
      <c r="M70" s="25" t="str">
        <f t="shared" si="0"/>
        <v>OK</v>
      </c>
      <c r="N70" s="25" t="str">
        <f t="shared" si="0"/>
        <v>OK</v>
      </c>
    </row>
    <row r="71" spans="1:14" x14ac:dyDescent="0.35">
      <c r="A71">
        <v>84</v>
      </c>
      <c r="B71">
        <v>1</v>
      </c>
      <c r="C71">
        <v>7.5</v>
      </c>
      <c r="E71">
        <v>83</v>
      </c>
      <c r="F71">
        <v>1</v>
      </c>
      <c r="G71">
        <v>9.1</v>
      </c>
    </row>
    <row r="72" spans="1:14" ht="13.15" x14ac:dyDescent="0.4">
      <c r="A72">
        <v>85</v>
      </c>
      <c r="B72">
        <v>1</v>
      </c>
      <c r="C72">
        <v>7.1</v>
      </c>
      <c r="E72">
        <v>84</v>
      </c>
      <c r="F72">
        <v>1</v>
      </c>
      <c r="G72">
        <v>8.6999999999999993</v>
      </c>
      <c r="J72" s="1" t="s">
        <v>16</v>
      </c>
    </row>
    <row r="73" spans="1:14" x14ac:dyDescent="0.35">
      <c r="A73">
        <v>86</v>
      </c>
      <c r="B73">
        <v>1</v>
      </c>
      <c r="C73">
        <v>6.8</v>
      </c>
      <c r="E73">
        <v>85</v>
      </c>
      <c r="F73">
        <v>1</v>
      </c>
      <c r="G73">
        <v>8.3000000000000007</v>
      </c>
      <c r="K73" t="s">
        <v>17</v>
      </c>
      <c r="L73" t="s">
        <v>18</v>
      </c>
      <c r="M73" t="s">
        <v>19</v>
      </c>
      <c r="N73" t="s">
        <v>20</v>
      </c>
    </row>
    <row r="74" spans="1:14" ht="13.15" x14ac:dyDescent="0.4">
      <c r="A74">
        <v>87</v>
      </c>
      <c r="B74">
        <v>1</v>
      </c>
      <c r="C74">
        <v>6.4</v>
      </c>
      <c r="E74">
        <v>86</v>
      </c>
      <c r="F74">
        <v>1</v>
      </c>
      <c r="G74">
        <v>7.9</v>
      </c>
      <c r="J74" s="1" t="s">
        <v>117</v>
      </c>
      <c r="K74" s="3">
        <f>IF('Optional AP MLP'!B11="",DATA!K78,'Optional AP MLP'!B11)</f>
        <v>42916</v>
      </c>
      <c r="L74" s="3">
        <f>IF('Optional AP MLP'!C11="",DATA!L78,'Optional AP MLP'!C11)</f>
        <v>42916</v>
      </c>
      <c r="M74" s="3">
        <f>IF('Optional AP MLP'!D11="",DATA!M78,'Optional AP MLP'!D11)</f>
        <v>42916</v>
      </c>
      <c r="N74" s="3">
        <f>IF('Optional AP MLP'!E11="",DATA!N78,'Optional AP MLP'!E11)</f>
        <v>42916</v>
      </c>
    </row>
    <row r="75" spans="1:14" ht="13.15" x14ac:dyDescent="0.4">
      <c r="A75">
        <v>88</v>
      </c>
      <c r="B75">
        <v>1</v>
      </c>
      <c r="C75">
        <v>6.1</v>
      </c>
      <c r="E75">
        <v>87</v>
      </c>
      <c r="F75">
        <v>1</v>
      </c>
      <c r="G75">
        <v>7.5</v>
      </c>
      <c r="J75" s="1" t="s">
        <v>5</v>
      </c>
      <c r="K75" s="5">
        <f>(K74-'Optional AP MLP'!B8)+1</f>
        <v>365</v>
      </c>
      <c r="L75" s="5">
        <f>(L74-'Optional AP MLP'!C8)+1</f>
        <v>365</v>
      </c>
      <c r="M75" s="5">
        <f>(M74-'Optional AP MLP'!D8)+1</f>
        <v>365</v>
      </c>
      <c r="N75" s="5">
        <f>(N74-'Optional AP MLP'!E8)+1</f>
        <v>365</v>
      </c>
    </row>
    <row r="76" spans="1:14" ht="13.15" x14ac:dyDescent="0.4">
      <c r="A76">
        <v>89</v>
      </c>
      <c r="B76">
        <v>1</v>
      </c>
      <c r="C76">
        <v>5.8</v>
      </c>
      <c r="E76">
        <v>88</v>
      </c>
      <c r="F76">
        <v>1</v>
      </c>
      <c r="G76">
        <v>7.2</v>
      </c>
      <c r="J76" s="1" t="s">
        <v>6</v>
      </c>
      <c r="K76">
        <f>K78-K77+1</f>
        <v>365</v>
      </c>
      <c r="L76">
        <f>L78-L77+1</f>
        <v>365</v>
      </c>
      <c r="M76">
        <f>M78-M77+1</f>
        <v>365</v>
      </c>
      <c r="N76">
        <f>N78-N77+1</f>
        <v>365</v>
      </c>
    </row>
    <row r="77" spans="1:14" ht="13.15" x14ac:dyDescent="0.4">
      <c r="A77">
        <v>90</v>
      </c>
      <c r="B77">
        <v>1</v>
      </c>
      <c r="C77">
        <v>5.5</v>
      </c>
      <c r="E77">
        <v>89</v>
      </c>
      <c r="F77">
        <v>1</v>
      </c>
      <c r="G77">
        <v>6.9</v>
      </c>
      <c r="J77" s="1" t="s">
        <v>7</v>
      </c>
      <c r="K77" s="3">
        <f>DATE(IF(MONTH('Optional AP MLP'!B8)&gt;6,YEAR('Optional AP MLP'!B8),YEAR('Optional AP MLP'!B8)-1),7,1)</f>
        <v>42552</v>
      </c>
      <c r="L77" s="3">
        <f>DATE(IF(MONTH('Optional AP MLP'!C8)&gt;6,YEAR('Optional AP MLP'!C8),YEAR('Optional AP MLP'!C8)-1),7,1)</f>
        <v>42552</v>
      </c>
      <c r="M77" s="3">
        <f>DATE(IF(MONTH('Optional AP MLP'!D8)&gt;6,YEAR('Optional AP MLP'!D8),YEAR('Optional AP MLP'!D8)-1),7,1)</f>
        <v>42552</v>
      </c>
      <c r="N77" s="3">
        <f>DATE(IF(MONTH('Optional AP MLP'!E8)&gt;6,YEAR('Optional AP MLP'!E8),YEAR('Optional AP MLP'!E8)-1),7,1)</f>
        <v>42552</v>
      </c>
    </row>
    <row r="78" spans="1:14" ht="13.15" x14ac:dyDescent="0.4">
      <c r="A78">
        <v>91</v>
      </c>
      <c r="B78">
        <v>1</v>
      </c>
      <c r="C78">
        <v>5.3</v>
      </c>
      <c r="E78">
        <v>90</v>
      </c>
      <c r="F78">
        <v>1</v>
      </c>
      <c r="G78">
        <v>6.6</v>
      </c>
      <c r="J78" s="1" t="s">
        <v>8</v>
      </c>
      <c r="K78" s="3">
        <f>DATE(IF(MONTH('Optional AP MLP'!B8)&gt;6,YEAR('Optional AP MLP'!B8)+1,YEAR('Optional AP MLP'!B8)),6,30)</f>
        <v>42916</v>
      </c>
      <c r="L78" s="3">
        <f>DATE(IF(MONTH('Optional AP MLP'!C8)&gt;6,YEAR('Optional AP MLP'!C8)+1,YEAR('Optional AP MLP'!C8)),6,30)</f>
        <v>42916</v>
      </c>
      <c r="M78" s="3">
        <f>DATE(IF(MONTH('Optional AP MLP'!D8)&gt;6,YEAR('Optional AP MLP'!D8)+1,YEAR('Optional AP MLP'!D8)),6,30)</f>
        <v>42916</v>
      </c>
      <c r="N78" s="3">
        <f>DATE(IF(MONTH('Optional AP MLP'!E8)&gt;6,YEAR('Optional AP MLP'!E8)+1,YEAR('Optional AP MLP'!E8)),6,30)</f>
        <v>42916</v>
      </c>
    </row>
    <row r="79" spans="1:14" ht="13.15" x14ac:dyDescent="0.4">
      <c r="A79">
        <v>92</v>
      </c>
      <c r="B79">
        <v>1</v>
      </c>
      <c r="C79">
        <v>5</v>
      </c>
      <c r="E79">
        <v>91</v>
      </c>
      <c r="F79">
        <v>1</v>
      </c>
      <c r="G79">
        <v>6.3</v>
      </c>
      <c r="J79" s="1" t="s">
        <v>118</v>
      </c>
      <c r="K79">
        <f>IF('Optional AP MLP'!B7&lt;&gt;"",INT(YEAR('Optional AP MLP'!B8)-YEAR('Optional AP MLP'!B7)+(MONTH('Optional AP MLP'!B8)-MONTH('Optional AP MLP'!B7))/12+(DAY('Optional AP MLP'!B8)-DAY('Optional AP MLP'!B7))/365),0)</f>
        <v>0</v>
      </c>
      <c r="L79">
        <f>IF('Optional AP MLP'!C7&lt;&gt;"",INT(YEAR('Optional AP MLP'!C8)-YEAR('Optional AP MLP'!C7)+(MONTH('Optional AP MLP'!C8)-MONTH('Optional AP MLP'!C7))/12+(DAY('Optional AP MLP'!C8)-DAY('Optional AP MLP'!C7))/365),0)</f>
        <v>0</v>
      </c>
      <c r="M79">
        <f>IF('Optional AP MLP'!D7&lt;&gt;"",INT(YEAR('Optional AP MLP'!D8)-YEAR('Optional AP MLP'!D7)+(MONTH('Optional AP MLP'!D8)-MONTH('Optional AP MLP'!D7))/12+(DAY('Optional AP MLP'!D8)-DAY('Optional AP MLP'!D7))/365),0)</f>
        <v>0</v>
      </c>
      <c r="N79">
        <f>IF('Optional AP MLP'!E7&lt;&gt;"",INT(YEAR('Optional AP MLP'!E8)-YEAR('Optional AP MLP'!E7)+(MONTH('Optional AP MLP'!E8)-MONTH('Optional AP MLP'!E7))/12+(DAY('Optional AP MLP'!E8)-DAY('Optional AP MLP'!E7))/365),0)</f>
        <v>0</v>
      </c>
    </row>
    <row r="80" spans="1:14" ht="13.15" x14ac:dyDescent="0.4">
      <c r="A80">
        <v>93</v>
      </c>
      <c r="B80">
        <v>1</v>
      </c>
      <c r="C80">
        <v>4.8</v>
      </c>
      <c r="E80">
        <v>92</v>
      </c>
      <c r="F80">
        <v>1</v>
      </c>
      <c r="G80">
        <v>6</v>
      </c>
      <c r="J80" s="1" t="s">
        <v>112</v>
      </c>
      <c r="K80">
        <f>IF('Optional AP MLP'!B9&lt;&gt;"",'Optional AP MLP'!B9,0)</f>
        <v>0</v>
      </c>
      <c r="L80">
        <f>IF('Optional AP MLP'!C9&lt;&gt;"",'Optional AP MLP'!C9,0)</f>
        <v>0</v>
      </c>
      <c r="M80">
        <f>IF('Optional AP MLP'!D9&lt;&gt;"",'Optional AP MLP'!D9,0)</f>
        <v>0</v>
      </c>
      <c r="N80">
        <f>IF('Optional AP MLP'!E9&lt;&gt;"",'Optional AP MLP'!E9,0)</f>
        <v>0</v>
      </c>
    </row>
    <row r="81" spans="1:14" ht="13.15" x14ac:dyDescent="0.4">
      <c r="A81">
        <v>94</v>
      </c>
      <c r="B81">
        <v>1</v>
      </c>
      <c r="C81">
        <v>4.5999999999999996</v>
      </c>
      <c r="E81">
        <v>93</v>
      </c>
      <c r="F81">
        <v>1</v>
      </c>
      <c r="G81">
        <v>5.8</v>
      </c>
      <c r="J81" s="1" t="s">
        <v>2</v>
      </c>
      <c r="K81">
        <f>IF(K79&gt;0,IF(UPPER('Optional AP MLP'!B10)="O",VLOOKUP(K79,DATA!$A$7:$C$88,3,TRUE),VLOOKUP(K79,DATA!$E$7:$G$89,3,TRUE)),1)</f>
        <v>1</v>
      </c>
      <c r="L81">
        <f>IF(L79&gt;0,IF(UPPER('Optional AP MLP'!C10)="O",VLOOKUP(L79,DATA!$A$7:$C$88,3,TRUE),VLOOKUP(L79,DATA!$E$7:$G$89,3,TRUE)),1)</f>
        <v>1</v>
      </c>
      <c r="M81">
        <f>IF(M79&gt;0,IF(UPPER('Optional AP MLP'!D10)="O",VLOOKUP(M79,DATA!$A$7:$C$88,3,TRUE),VLOOKUP(M79,DATA!$E$7:$G$89,3,TRUE)),1)</f>
        <v>1</v>
      </c>
      <c r="N81">
        <f>IF(N79&gt;0,IF(UPPER('Optional AP MLP'!E10)="O",VLOOKUP(N79,DATA!$A$7:$C$88,3,TRUE),VLOOKUP(N79,DATA!$E$7:$G$89,3,TRUE)),1)</f>
        <v>1</v>
      </c>
    </row>
    <row r="82" spans="1:14" ht="13.15" x14ac:dyDescent="0.4">
      <c r="A82">
        <v>95</v>
      </c>
      <c r="B82">
        <v>1</v>
      </c>
      <c r="C82">
        <v>4.4000000000000004</v>
      </c>
      <c r="E82">
        <v>94</v>
      </c>
      <c r="F82">
        <v>1</v>
      </c>
      <c r="G82">
        <v>5.5</v>
      </c>
      <c r="J82" s="1" t="s">
        <v>3</v>
      </c>
      <c r="K82">
        <f>IF(K79&gt;0,IF(UPPER('Optional AP MLP'!B10)="O",VLOOKUP(K79,DATA!$A$7:$C$88,2,TRUE),VLOOKUP(K79,DATA!$E$7:$G$89,2,TRUE)),1)</f>
        <v>1</v>
      </c>
      <c r="L82">
        <f>IF(L79&gt;0,IF(UPPER('Optional AP MLP'!C10)="O",VLOOKUP(L79,DATA!$A$7:$C$88,2,TRUE),VLOOKUP(L79,DATA!$E$7:$G$89,2,TRUE)),1)</f>
        <v>1</v>
      </c>
      <c r="M82">
        <f>IF(M79&gt;0,IF(UPPER('Optional AP MLP'!D10)="O",VLOOKUP(M79,DATA!$A$7:$C$88,2,TRUE),VLOOKUP(M79,DATA!$E$7:$G$89,2,TRUE)),1)</f>
        <v>1</v>
      </c>
      <c r="N82">
        <f>IF(N79&gt;0,IF(UPPER('Optional AP MLP'!E10)="O",VLOOKUP(N79,DATA!$A$7:$C$88,2,TRUE),VLOOKUP(N79,DATA!$E$7:$G$89,2,TRUE)),1)</f>
        <v>1</v>
      </c>
    </row>
    <row r="83" spans="1:14" ht="13.15" x14ac:dyDescent="0.4">
      <c r="A83">
        <v>96</v>
      </c>
      <c r="B83">
        <v>1</v>
      </c>
      <c r="C83">
        <v>4.2</v>
      </c>
      <c r="E83">
        <v>95</v>
      </c>
      <c r="F83">
        <v>1</v>
      </c>
      <c r="G83">
        <v>5.3</v>
      </c>
      <c r="J83" s="1" t="s">
        <v>150</v>
      </c>
      <c r="K83">
        <f>IF(K75&gt;30,IF(K80&gt;0,ROUND(K80/K81*K75/K76/10,0)*10,0),0)</f>
        <v>0</v>
      </c>
      <c r="L83">
        <f>IF(L75&gt;30,IF(L80&gt;0,ROUND(L80/L81*L75/L76/10,0)*10,0),0)</f>
        <v>0</v>
      </c>
      <c r="M83">
        <f>IF(M75&gt;30,IF(M80&gt;0,ROUND(M80/M81*M75/M76/10,0)*10,0),0)</f>
        <v>0</v>
      </c>
      <c r="N83">
        <f>IF(N75&gt;30,IF(N80&gt;0,ROUND(N80/N81*N75/N76/10,0)*10,0),0)</f>
        <v>0</v>
      </c>
    </row>
    <row r="84" spans="1:14" ht="13.15" x14ac:dyDescent="0.4">
      <c r="A84">
        <v>97</v>
      </c>
      <c r="B84">
        <v>1</v>
      </c>
      <c r="C84">
        <v>4</v>
      </c>
      <c r="E84">
        <v>96</v>
      </c>
      <c r="F84">
        <v>1</v>
      </c>
      <c r="G84">
        <v>5.0999999999999996</v>
      </c>
      <c r="J84" s="1" t="s">
        <v>150</v>
      </c>
      <c r="K84">
        <f>IF(K80&gt;0,ROUND(K80/K82*K75/K76/10,0)*10,0)</f>
        <v>0</v>
      </c>
      <c r="L84">
        <f>IF(L80&gt;0,ROUND(L80/L82*L75/L76/10,0)*10,0)</f>
        <v>0</v>
      </c>
      <c r="M84">
        <f>IF(M80&gt;0,ROUND(M80/M82*M75/M76/10,0)*10,0)</f>
        <v>0</v>
      </c>
      <c r="N84">
        <f>IF(N80&gt;0,ROUND(N80/N82*N75/N76/10,0)*10,0)</f>
        <v>0</v>
      </c>
    </row>
    <row r="85" spans="1:14" x14ac:dyDescent="0.35">
      <c r="A85">
        <v>98</v>
      </c>
      <c r="B85">
        <v>1</v>
      </c>
      <c r="C85">
        <v>3.8</v>
      </c>
      <c r="E85">
        <v>97</v>
      </c>
      <c r="F85">
        <v>1</v>
      </c>
      <c r="G85">
        <v>4.9000000000000004</v>
      </c>
    </row>
    <row r="86" spans="1:14" ht="13.15" x14ac:dyDescent="0.4">
      <c r="A86">
        <v>99</v>
      </c>
      <c r="B86">
        <v>1</v>
      </c>
      <c r="C86">
        <v>3.7</v>
      </c>
      <c r="E86">
        <v>98</v>
      </c>
      <c r="F86">
        <v>1</v>
      </c>
      <c r="G86">
        <v>4.7</v>
      </c>
      <c r="J86" s="1" t="s">
        <v>151</v>
      </c>
    </row>
    <row r="87" spans="1:14" x14ac:dyDescent="0.35">
      <c r="A87">
        <v>100</v>
      </c>
      <c r="B87">
        <v>1</v>
      </c>
      <c r="C87">
        <v>3.5</v>
      </c>
      <c r="E87">
        <v>99</v>
      </c>
      <c r="F87">
        <v>1</v>
      </c>
      <c r="G87">
        <v>4.5</v>
      </c>
      <c r="K87" t="s">
        <v>17</v>
      </c>
      <c r="L87" t="s">
        <v>18</v>
      </c>
      <c r="M87" t="s">
        <v>19</v>
      </c>
      <c r="N87" t="s">
        <v>20</v>
      </c>
    </row>
    <row r="88" spans="1:14" ht="13.15" x14ac:dyDescent="0.4">
      <c r="A88">
        <v>200</v>
      </c>
      <c r="B88">
        <v>1</v>
      </c>
      <c r="C88">
        <v>3.5</v>
      </c>
      <c r="E88">
        <v>100</v>
      </c>
      <c r="F88">
        <v>1</v>
      </c>
      <c r="G88">
        <v>4.4000000000000004</v>
      </c>
      <c r="J88" s="1" t="s">
        <v>117</v>
      </c>
      <c r="K88" s="3">
        <f>IF('Optional AP MLP'!B25="",DATA!K92,'Optional AP MLP'!B25)</f>
        <v>42916</v>
      </c>
      <c r="L88" s="3">
        <f>IF('Optional AP MLP'!C25="",DATA!L92,'Optional AP MLP'!C25)</f>
        <v>42916</v>
      </c>
      <c r="M88" s="3">
        <f>IF('Optional AP MLP'!D25="",DATA!M92,'Optional AP MLP'!D25)</f>
        <v>42916</v>
      </c>
      <c r="N88" s="3">
        <f>IF('Optional AP MLP'!E25="",DATA!N92,'Optional AP MLP'!E25)</f>
        <v>42916</v>
      </c>
    </row>
    <row r="89" spans="1:14" ht="13.15" x14ac:dyDescent="0.4">
      <c r="E89">
        <v>200</v>
      </c>
      <c r="F89">
        <v>1</v>
      </c>
      <c r="G89">
        <v>4.4000000000000004</v>
      </c>
      <c r="J89" s="1" t="s">
        <v>5</v>
      </c>
      <c r="K89" s="5">
        <f>(K88-'Optional AP MLP'!B22)+1</f>
        <v>365</v>
      </c>
      <c r="L89" s="5">
        <f>(L88-'Optional AP MLP'!C22)+1</f>
        <v>365</v>
      </c>
      <c r="M89" s="5">
        <f>(M88-'Optional AP MLP'!D22)+1</f>
        <v>365</v>
      </c>
      <c r="N89" s="5">
        <f>(N88-'Optional AP MLP'!E22)+1</f>
        <v>365</v>
      </c>
    </row>
    <row r="90" spans="1:14" ht="13.15" x14ac:dyDescent="0.4">
      <c r="J90" s="1" t="s">
        <v>6</v>
      </c>
      <c r="K90">
        <f>K92-K91+1</f>
        <v>365</v>
      </c>
      <c r="L90">
        <f>L92-L91+1</f>
        <v>365</v>
      </c>
      <c r="M90">
        <f>M92-M91+1</f>
        <v>365</v>
      </c>
      <c r="N90">
        <f>N92-N91+1</f>
        <v>365</v>
      </c>
    </row>
    <row r="91" spans="1:14" ht="13.15" x14ac:dyDescent="0.4">
      <c r="J91" s="1" t="s">
        <v>7</v>
      </c>
      <c r="K91" s="3">
        <f>DATE(IF(MONTH('Optional AP MLP'!B22)&gt;6,YEAR('Optional AP MLP'!B22),YEAR('Optional AP MLP'!B22)-1),7,1)</f>
        <v>42552</v>
      </c>
      <c r="L91" s="3">
        <f>DATE(IF(MONTH('Optional AP MLP'!C22)&gt;6,YEAR('Optional AP MLP'!C22),YEAR('Optional AP MLP'!C22)-1),7,1)</f>
        <v>42552</v>
      </c>
      <c r="M91" s="3">
        <f>DATE(IF(MONTH('Optional AP MLP'!D22)&gt;6,YEAR('Optional AP MLP'!D22),YEAR('Optional AP MLP'!D22)-1),7,1)</f>
        <v>42552</v>
      </c>
      <c r="N91" s="3">
        <f>DATE(IF(MONTH('Optional AP MLP'!E22)&gt;6,YEAR('Optional AP MLP'!E22),YEAR('Optional AP MLP'!E22)-1),7,1)</f>
        <v>42552</v>
      </c>
    </row>
    <row r="92" spans="1:14" ht="13.15" x14ac:dyDescent="0.4">
      <c r="J92" s="1" t="s">
        <v>8</v>
      </c>
      <c r="K92" s="3">
        <f>DATE(IF(MONTH('Optional AP MLP'!B22)&gt;6,YEAR('Optional AP MLP'!B22)+1,YEAR('Optional AP MLP'!B22)),6,30)</f>
        <v>42916</v>
      </c>
      <c r="L92" s="3">
        <f>DATE(IF(MONTH('Optional AP MLP'!C22)&gt;6,YEAR('Optional AP MLP'!C22)+1,YEAR('Optional AP MLP'!C22)),6,30)</f>
        <v>42916</v>
      </c>
      <c r="M92" s="3">
        <f>DATE(IF(MONTH('Optional AP MLP'!D22)&gt;6,YEAR('Optional AP MLP'!D22)+1,YEAR('Optional AP MLP'!D22)),6,30)</f>
        <v>42916</v>
      </c>
      <c r="N92" s="3">
        <f>DATE(IF(MONTH('Optional AP MLP'!E22)&gt;6,YEAR('Optional AP MLP'!E22)+1,YEAR('Optional AP MLP'!E22)),6,30)</f>
        <v>42916</v>
      </c>
    </row>
    <row r="93" spans="1:14" ht="13.15" x14ac:dyDescent="0.4">
      <c r="J93" s="1" t="s">
        <v>118</v>
      </c>
      <c r="K93">
        <f>IF('Optional AP MLP'!B21&lt;&gt;"",INT(YEAR('Optional AP MLP'!B22)-YEAR('Optional AP MLP'!B21)+(MONTH('Optional AP MLP'!B22)-MONTH('Optional AP MLP'!B21))/12+(DAY('Optional AP MLP'!B22)-DAY('Optional AP MLP'!B21))/365),0)</f>
        <v>0</v>
      </c>
      <c r="L93">
        <f>IF('Optional AP MLP'!C21&lt;&gt;"",INT(YEAR('Optional AP MLP'!C22)-YEAR('Optional AP MLP'!C21)+(MONTH('Optional AP MLP'!C22)-MONTH('Optional AP MLP'!C21))/12+(DAY('Optional AP MLP'!C22)-DAY('Optional AP MLP'!C21))/365),0)</f>
        <v>0</v>
      </c>
      <c r="M93">
        <f>IF('Optional AP MLP'!D21&lt;&gt;"",INT(YEAR('Optional AP MLP'!D22)-YEAR('Optional AP MLP'!D21)+(MONTH('Optional AP MLP'!D22)-MONTH('Optional AP MLP'!D21))/12+(DAY('Optional AP MLP'!D22)-DAY('Optional AP MLP'!D21))/365),0)</f>
        <v>0</v>
      </c>
      <c r="N93">
        <f>IF('Optional AP MLP'!E21&lt;&gt;"",INT(YEAR('Optional AP MLP'!E22)-YEAR('Optional AP MLP'!E21)+(MONTH('Optional AP MLP'!E22)-MONTH('Optional AP MLP'!E21))/12+(DAY('Optional AP MLP'!E22)-DAY('Optional AP MLP'!E21))/365),0)</f>
        <v>0</v>
      </c>
    </row>
    <row r="94" spans="1:14" ht="13.15" x14ac:dyDescent="0.4">
      <c r="J94" s="1" t="s">
        <v>112</v>
      </c>
      <c r="K94">
        <f>IF('Optional AP MLP'!B23&lt;&gt;"",'Optional AP MLP'!B23,0)</f>
        <v>0</v>
      </c>
      <c r="L94">
        <f>IF('Optional AP MLP'!C23&lt;&gt;"",'Optional AP MLP'!C23,0)</f>
        <v>0</v>
      </c>
      <c r="M94">
        <f>IF('Optional AP MLP'!D23&lt;&gt;"",'Optional AP MLP'!D23,0)</f>
        <v>0</v>
      </c>
      <c r="N94">
        <f>IF('Optional AP MLP'!E23&lt;&gt;"",'Optional AP MLP'!E23,0)</f>
        <v>0</v>
      </c>
    </row>
    <row r="95" spans="1:14" ht="13.15" x14ac:dyDescent="0.4">
      <c r="J95" s="1" t="s">
        <v>159</v>
      </c>
      <c r="K95">
        <f>'Optional AP MLP'!B24</f>
        <v>0</v>
      </c>
      <c r="L95">
        <f>'Optional AP MLP'!C24</f>
        <v>0</v>
      </c>
      <c r="M95">
        <f>'Optional AP MLP'!D24</f>
        <v>0</v>
      </c>
      <c r="N95">
        <f>'Optional AP MLP'!E24</f>
        <v>0</v>
      </c>
    </row>
    <row r="96" spans="1:14" ht="13.15" x14ac:dyDescent="0.4">
      <c r="J96" s="1" t="s">
        <v>152</v>
      </c>
      <c r="K96">
        <f>IF(K95&gt;0,VLOOKUP(K95,DATA!$P$7:$Q$51,2,FALSE),1)</f>
        <v>1</v>
      </c>
      <c r="L96">
        <f>IF(L95&gt;0,VLOOKUP(L95,DATA!$P$7:$Q$51,2,FALSE),1)</f>
        <v>1</v>
      </c>
      <c r="M96">
        <f>IF(M95&gt;0,VLOOKUP(M95,DATA!$P$7:$Q$51,2,FALSE),1)</f>
        <v>1</v>
      </c>
      <c r="N96">
        <f>IF(N95&gt;0,VLOOKUP(N95,DATA!$P$7:$Q$51,2,FALSE),1)</f>
        <v>1</v>
      </c>
    </row>
    <row r="97" spans="10:14" ht="13.15" x14ac:dyDescent="0.4">
      <c r="J97" s="1" t="s">
        <v>153</v>
      </c>
      <c r="K97">
        <f>IF(K89&gt;30,IF(K94&gt;0,ROUND(K94/K96*0.9*K89/K90/10,0)*10,0),0)</f>
        <v>0</v>
      </c>
      <c r="L97">
        <f>IF(L89&gt;30,IF(L94&gt;0,ROUND(L94/L96*0.9*L89/L90/10,0)*10,0),0)</f>
        <v>0</v>
      </c>
      <c r="M97">
        <f>IF(M89&gt;30,IF(M94&gt;0,ROUND(M94/M96*0.9*M89/M90/10,0)*10,0),0)</f>
        <v>0</v>
      </c>
      <c r="N97">
        <f>IF(N89&gt;30,IF(N94&gt;0,ROUND(N94/N96*0.9*N89/N90/10,0)*10,0),0)</f>
        <v>0</v>
      </c>
    </row>
    <row r="98" spans="10:14" ht="13.15" x14ac:dyDescent="0.4">
      <c r="J98" s="1" t="s">
        <v>154</v>
      </c>
      <c r="K98">
        <f>IF(K94&gt;0,ROUND(K94/K96*1.1*K89/K90/10,0)*10,0)</f>
        <v>0</v>
      </c>
      <c r="L98">
        <f>IF(L94&gt;0,ROUND(L94/L96*1.1*L89/L90/10,0)*10,0)</f>
        <v>0</v>
      </c>
      <c r="M98">
        <f>IF(M94&gt;0,ROUND(M94/M96*1.1*M89/M90/10,0)*10,0)</f>
        <v>0</v>
      </c>
      <c r="N98">
        <f>IF(N94&gt;0,ROUND(N94/N96*1.1*N89/N90/10,0)*10,0)</f>
        <v>0</v>
      </c>
    </row>
    <row r="100" spans="10:14" ht="13.15" x14ac:dyDescent="0.4">
      <c r="J100" s="1" t="s">
        <v>155</v>
      </c>
      <c r="K100">
        <f>IF(('Optional AP MLP'!B12-K83)&gt;=0,0,IF(('Optional AP MLP'!B12-K83)&gt;-11,1,2))</f>
        <v>0</v>
      </c>
      <c r="L100">
        <f>IF(('Optional AP MLP'!C12-L83)&gt;=0,0,IF(('Optional AP MLP'!C12-L83)&gt;-11,1,2))</f>
        <v>0</v>
      </c>
      <c r="M100">
        <f>IF(('Optional AP MLP'!D12-M83)&gt;=0,0,IF(('Optional AP MLP'!D12-M83)&gt;-11,1,2))</f>
        <v>0</v>
      </c>
      <c r="N100">
        <f>IF(('Optional AP MLP'!E12-N83)&gt;=0,0,IF(('Optional AP MLP'!E12-N83)&gt;-11,1,2))</f>
        <v>0</v>
      </c>
    </row>
    <row r="101" spans="10:14" ht="13.15" x14ac:dyDescent="0.4">
      <c r="J101" s="1" t="s">
        <v>156</v>
      </c>
      <c r="K101">
        <f>IF(('Optional AP MLP'!B26-K97)&gt;=0,0,IF(('Optional AP MLP'!B26-K97)&gt;-11,1,2))</f>
        <v>0</v>
      </c>
      <c r="L101">
        <f>IF(('Optional AP MLP'!C26-L97)&gt;=0,0,IF(('Optional AP MLP'!C26-L97)&gt;-11,1,2))</f>
        <v>0</v>
      </c>
      <c r="M101">
        <f>IF(('Optional AP MLP'!D26-M97)&gt;=0,0,IF(('Optional AP MLP'!D26-M97)&gt;-11,1,2))</f>
        <v>0</v>
      </c>
      <c r="N101">
        <f>IF(('Optional AP MLP'!E26-N97)&gt;=0,0,IF(('Optional AP MLP'!E26-N97)&gt;-11,1,2))</f>
        <v>0</v>
      </c>
    </row>
    <row r="103" spans="10:14" ht="13.15" x14ac:dyDescent="0.4">
      <c r="J103" s="1" t="s">
        <v>157</v>
      </c>
      <c r="K103">
        <f>IF((K84-'Optional AP MLP'!B12)&gt;=0,0,IF((K84-'Optional AP MLP'!B12)&gt;-11,1,2))</f>
        <v>0</v>
      </c>
      <c r="L103">
        <f>IF((L84-'Optional AP MLP'!C12)&gt;=0,0,IF((L84-'Optional AP MLP'!C12)&gt;-11,1,2))</f>
        <v>0</v>
      </c>
      <c r="M103">
        <f>IF((M84-'Optional AP MLP'!D12)&gt;=0,0,IF((M84-'Optional AP MLP'!D12)&gt;-11,1,2))</f>
        <v>0</v>
      </c>
      <c r="N103">
        <f>IF((N84-'Optional AP MLP'!E12)&gt;=0,0,IF((N84-'Optional AP MLP'!E12)&gt;-11,1,2))</f>
        <v>0</v>
      </c>
    </row>
    <row r="104" spans="10:14" ht="13.15" x14ac:dyDescent="0.4">
      <c r="J104" s="1" t="s">
        <v>158</v>
      </c>
      <c r="K104">
        <f>IF((K98-'Optional AP MLP'!B26)&gt;=0,0,IF((K98-'Optional AP MLP'!B26)&gt;-11,1,2))</f>
        <v>0</v>
      </c>
      <c r="L104">
        <f>IF((L98-'Optional AP MLP'!C26)&gt;=0,0,IF((L98-'Optional AP MLP'!C26)&gt;-11,1,2))</f>
        <v>0</v>
      </c>
      <c r="M104">
        <f>IF((M98-'Optional AP MLP'!D26)&gt;=0,0,IF((M98-'Optional AP MLP'!D26)&gt;-11,1,2))</f>
        <v>0</v>
      </c>
      <c r="N104">
        <f>IF((N98-'Optional AP MLP'!E26)&gt;=0,0,IF((N98-'Optional AP MLP'!E26)&gt;-11,1,2))</f>
        <v>0</v>
      </c>
    </row>
    <row r="105" spans="10:14" ht="13.15" x14ac:dyDescent="0.4">
      <c r="J105" s="1"/>
    </row>
    <row r="106" spans="10:14" ht="13.15" x14ac:dyDescent="0.4">
      <c r="J106" s="1" t="s">
        <v>160</v>
      </c>
      <c r="K106" s="25" t="str">
        <f t="shared" ref="K106:N107" si="1">IF((K100+K103)&gt;0,IF((K100+K103)&gt;1,"WARNING",""),"OK")</f>
        <v>OK</v>
      </c>
      <c r="L106" s="25" t="str">
        <f t="shared" si="1"/>
        <v>OK</v>
      </c>
      <c r="M106" s="25" t="str">
        <f t="shared" si="1"/>
        <v>OK</v>
      </c>
      <c r="N106" s="25" t="str">
        <f t="shared" si="1"/>
        <v>OK</v>
      </c>
    </row>
    <row r="107" spans="10:14" ht="13.15" x14ac:dyDescent="0.4">
      <c r="J107" s="1" t="s">
        <v>161</v>
      </c>
      <c r="K107" s="25" t="str">
        <f t="shared" si="1"/>
        <v>OK</v>
      </c>
      <c r="L107" s="25" t="str">
        <f t="shared" si="1"/>
        <v>OK</v>
      </c>
      <c r="M107" s="25" t="str">
        <f t="shared" si="1"/>
        <v>OK</v>
      </c>
      <c r="N107" s="25" t="str">
        <f t="shared" si="1"/>
        <v>OK</v>
      </c>
    </row>
  </sheetData>
  <sheetProtection password="C7DC" sheet="1" selectLockedCells="1" selectUnlockedCells="1"/>
  <phoneticPr fontId="5" type="noConversion"/>
  <pageMargins left="0.75" right="0.75" top="1" bottom="1" header="0.5" footer="0.5"/>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Fund &amp; Member Details</vt:lpstr>
      <vt:lpstr>Transactions</vt:lpstr>
      <vt:lpstr>Optional ABPs</vt:lpstr>
      <vt:lpstr>Optional AP MLP</vt:lpstr>
      <vt:lpstr>Percentage Calc</vt:lpstr>
      <vt:lpstr>Certificate</vt:lpstr>
      <vt:lpstr>Check</vt:lpstr>
      <vt:lpstr>DATA</vt:lpstr>
      <vt:lpstr>Valid</vt:lpstr>
    </vt:vector>
  </TitlesOfParts>
  <Company>PBA Super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Anderson</dc:creator>
  <cp:lastModifiedBy>Paul Anderson</cp:lastModifiedBy>
  <cp:lastPrinted>2016-05-31T02:31:07Z</cp:lastPrinted>
  <dcterms:created xsi:type="dcterms:W3CDTF">2005-07-08T05:12:40Z</dcterms:created>
  <dcterms:modified xsi:type="dcterms:W3CDTF">2017-06-18T23:43:08Z</dcterms:modified>
</cp:coreProperties>
</file>