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pbasu\Documents\PBA Super\Actuarial\Development\"/>
    </mc:Choice>
  </mc:AlternateContent>
  <xr:revisionPtr revIDLastSave="0" documentId="13_ncr:1_{41EDEEFB-0538-47A5-91AE-B3B5C12F2B0F}" xr6:coauthVersionLast="47" xr6:coauthVersionMax="47" xr10:uidLastSave="{00000000-0000-0000-0000-000000000000}"/>
  <workbookProtection workbookAlgorithmName="SHA-512" workbookHashValue="9DaICuJIXHfsljwNOgXpihFxc+GFH4R5JnkqVuqjIRTxflT9h3OicgyylN39k+LeJGjHEoAce5rQ7MMFKS7UQQ==" workbookSaltValue="G7tTWa0gtsMUfmvcdAh2zg==" workbookSpinCount="100000" lockStructure="1"/>
  <bookViews>
    <workbookView xWindow="71880" yWindow="-120" windowWidth="29040" windowHeight="15720" tabRatio="858" xr2:uid="{00000000-000D-0000-FFFF-FFFF00000000}"/>
  </bookViews>
  <sheets>
    <sheet name="Fund &amp; Member Details" sheetId="5" r:id="rId1"/>
    <sheet name="Transactions" sheetId="10" r:id="rId2"/>
    <sheet name="Optional ABPs" sheetId="12" r:id="rId3"/>
    <sheet name="Optional AP MLP" sheetId="13" r:id="rId4"/>
    <sheet name="Percentage Calc" sheetId="7" state="hidden" r:id="rId5"/>
    <sheet name="Certificate" sheetId="8" state="hidden" r:id="rId6"/>
    <sheet name="Check" sheetId="9" state="hidden" r:id="rId7"/>
    <sheet name="DATA" sheetId="4" state="hidden" r:id="rId8"/>
  </sheets>
  <definedNames>
    <definedName name="_xlnm._FilterDatabase" localSheetId="2" hidden="1">'Optional ABPs'!$B$4:$E$6</definedName>
    <definedName name="_xlnm._FilterDatabase" localSheetId="3" hidden="1">'Optional AP MLP'!$A$5:$E$16</definedName>
    <definedName name="Valid">Check!$D$73:$D$76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4" i="8" l="1"/>
  <c r="B51" i="9"/>
  <c r="A65" i="9"/>
  <c r="B23" i="9"/>
  <c r="K9" i="4"/>
  <c r="L9" i="4"/>
  <c r="M9" i="4"/>
  <c r="N9" i="4"/>
  <c r="B50" i="9"/>
  <c r="A66" i="9"/>
  <c r="Q379" i="7"/>
  <c r="P379" i="7"/>
  <c r="O379" i="7"/>
  <c r="N379" i="7"/>
  <c r="M379" i="7"/>
  <c r="Q378" i="7"/>
  <c r="P378" i="7"/>
  <c r="O378" i="7"/>
  <c r="N378" i="7"/>
  <c r="M378" i="7"/>
  <c r="Q377" i="7"/>
  <c r="P377" i="7"/>
  <c r="O377" i="7"/>
  <c r="N377" i="7"/>
  <c r="M377" i="7"/>
  <c r="Q376" i="7"/>
  <c r="P376" i="7"/>
  <c r="O376" i="7"/>
  <c r="N376" i="7"/>
  <c r="M376" i="7"/>
  <c r="Q375" i="7"/>
  <c r="P375" i="7"/>
  <c r="O375" i="7"/>
  <c r="N375" i="7"/>
  <c r="M375" i="7"/>
  <c r="Q374" i="7"/>
  <c r="P374" i="7"/>
  <c r="O374" i="7"/>
  <c r="N374" i="7"/>
  <c r="M374" i="7"/>
  <c r="Q373" i="7"/>
  <c r="P373" i="7"/>
  <c r="O373" i="7"/>
  <c r="N373" i="7"/>
  <c r="M373" i="7"/>
  <c r="Q372" i="7"/>
  <c r="P372" i="7"/>
  <c r="O372" i="7"/>
  <c r="N372" i="7"/>
  <c r="M372" i="7"/>
  <c r="Q371" i="7"/>
  <c r="P371" i="7"/>
  <c r="O371" i="7"/>
  <c r="N371" i="7"/>
  <c r="M371" i="7"/>
  <c r="Q370" i="7"/>
  <c r="P370" i="7"/>
  <c r="O370" i="7"/>
  <c r="N370" i="7"/>
  <c r="M370" i="7"/>
  <c r="Q369" i="7"/>
  <c r="P369" i="7"/>
  <c r="O369" i="7"/>
  <c r="N369" i="7"/>
  <c r="M369" i="7"/>
  <c r="Q368" i="7"/>
  <c r="P368" i="7"/>
  <c r="O368" i="7"/>
  <c r="N368" i="7"/>
  <c r="M368" i="7"/>
  <c r="Q367" i="7"/>
  <c r="P367" i="7"/>
  <c r="O367" i="7"/>
  <c r="N367" i="7"/>
  <c r="M367" i="7"/>
  <c r="Q366" i="7"/>
  <c r="P366" i="7"/>
  <c r="O366" i="7"/>
  <c r="N366" i="7"/>
  <c r="M366" i="7"/>
  <c r="Q365" i="7"/>
  <c r="P365" i="7"/>
  <c r="O365" i="7"/>
  <c r="N365" i="7"/>
  <c r="M365" i="7"/>
  <c r="Q364" i="7"/>
  <c r="P364" i="7"/>
  <c r="O364" i="7"/>
  <c r="N364" i="7"/>
  <c r="M364" i="7"/>
  <c r="Q363" i="7"/>
  <c r="P363" i="7"/>
  <c r="O363" i="7"/>
  <c r="N363" i="7"/>
  <c r="M363" i="7"/>
  <c r="Q362" i="7"/>
  <c r="P362" i="7"/>
  <c r="O362" i="7"/>
  <c r="N362" i="7"/>
  <c r="M362" i="7"/>
  <c r="Q361" i="7"/>
  <c r="P361" i="7"/>
  <c r="O361" i="7"/>
  <c r="N361" i="7"/>
  <c r="M361" i="7"/>
  <c r="Q360" i="7"/>
  <c r="P360" i="7"/>
  <c r="O360" i="7"/>
  <c r="N360" i="7"/>
  <c r="M360" i="7"/>
  <c r="Q359" i="7"/>
  <c r="P359" i="7"/>
  <c r="O359" i="7"/>
  <c r="N359" i="7"/>
  <c r="M359" i="7"/>
  <c r="Q358" i="7"/>
  <c r="P358" i="7"/>
  <c r="O358" i="7"/>
  <c r="N358" i="7"/>
  <c r="M358" i="7"/>
  <c r="Q357" i="7"/>
  <c r="P357" i="7"/>
  <c r="O357" i="7"/>
  <c r="N357" i="7"/>
  <c r="M357" i="7"/>
  <c r="Q356" i="7"/>
  <c r="P356" i="7"/>
  <c r="O356" i="7"/>
  <c r="N356" i="7"/>
  <c r="M356" i="7"/>
  <c r="Q355" i="7"/>
  <c r="P355" i="7"/>
  <c r="O355" i="7"/>
  <c r="N355" i="7"/>
  <c r="M355" i="7"/>
  <c r="Q354" i="7"/>
  <c r="P354" i="7"/>
  <c r="O354" i="7"/>
  <c r="N354" i="7"/>
  <c r="M354" i="7"/>
  <c r="Q353" i="7"/>
  <c r="P353" i="7"/>
  <c r="O353" i="7"/>
  <c r="N353" i="7"/>
  <c r="M353" i="7"/>
  <c r="Q352" i="7"/>
  <c r="P352" i="7"/>
  <c r="O352" i="7"/>
  <c r="N352" i="7"/>
  <c r="M352" i="7"/>
  <c r="Q351" i="7"/>
  <c r="P351" i="7"/>
  <c r="O351" i="7"/>
  <c r="N351" i="7"/>
  <c r="M351" i="7"/>
  <c r="Q350" i="7"/>
  <c r="P350" i="7"/>
  <c r="O350" i="7"/>
  <c r="N350" i="7"/>
  <c r="M350" i="7"/>
  <c r="Q349" i="7"/>
  <c r="P349" i="7"/>
  <c r="O349" i="7"/>
  <c r="N349" i="7"/>
  <c r="M349" i="7"/>
  <c r="Q348" i="7"/>
  <c r="P348" i="7"/>
  <c r="O348" i="7"/>
  <c r="N348" i="7"/>
  <c r="M348" i="7"/>
  <c r="Q347" i="7"/>
  <c r="P347" i="7"/>
  <c r="O347" i="7"/>
  <c r="N347" i="7"/>
  <c r="M347" i="7"/>
  <c r="Q346" i="7"/>
  <c r="P346" i="7"/>
  <c r="O346" i="7"/>
  <c r="N346" i="7"/>
  <c r="M346" i="7"/>
  <c r="Q345" i="7"/>
  <c r="P345" i="7"/>
  <c r="O345" i="7"/>
  <c r="N345" i="7"/>
  <c r="M345" i="7"/>
  <c r="Q344" i="7"/>
  <c r="P344" i="7"/>
  <c r="O344" i="7"/>
  <c r="N344" i="7"/>
  <c r="M344" i="7"/>
  <c r="Q343" i="7"/>
  <c r="P343" i="7"/>
  <c r="O343" i="7"/>
  <c r="N343" i="7"/>
  <c r="M343" i="7"/>
  <c r="Q342" i="7"/>
  <c r="P342" i="7"/>
  <c r="O342" i="7"/>
  <c r="N342" i="7"/>
  <c r="M342" i="7"/>
  <c r="Q341" i="7"/>
  <c r="P341" i="7"/>
  <c r="O341" i="7"/>
  <c r="N341" i="7"/>
  <c r="M341" i="7"/>
  <c r="Q340" i="7"/>
  <c r="P340" i="7"/>
  <c r="O340" i="7"/>
  <c r="N340" i="7"/>
  <c r="M340" i="7"/>
  <c r="Q339" i="7"/>
  <c r="P339" i="7"/>
  <c r="O339" i="7"/>
  <c r="N339" i="7"/>
  <c r="M339" i="7"/>
  <c r="Q338" i="7"/>
  <c r="P338" i="7"/>
  <c r="O338" i="7"/>
  <c r="N338" i="7"/>
  <c r="M338" i="7"/>
  <c r="Q337" i="7"/>
  <c r="P337" i="7"/>
  <c r="O337" i="7"/>
  <c r="N337" i="7"/>
  <c r="M337" i="7"/>
  <c r="Q336" i="7"/>
  <c r="P336" i="7"/>
  <c r="O336" i="7"/>
  <c r="N336" i="7"/>
  <c r="M336" i="7"/>
  <c r="Q335" i="7"/>
  <c r="P335" i="7"/>
  <c r="O335" i="7"/>
  <c r="N335" i="7"/>
  <c r="M335" i="7"/>
  <c r="Q334" i="7"/>
  <c r="P334" i="7"/>
  <c r="O334" i="7"/>
  <c r="N334" i="7"/>
  <c r="M334" i="7"/>
  <c r="Q333" i="7"/>
  <c r="P333" i="7"/>
  <c r="O333" i="7"/>
  <c r="N333" i="7"/>
  <c r="M333" i="7"/>
  <c r="Q332" i="7"/>
  <c r="P332" i="7"/>
  <c r="O332" i="7"/>
  <c r="N332" i="7"/>
  <c r="M332" i="7"/>
  <c r="Q331" i="7"/>
  <c r="P331" i="7"/>
  <c r="O331" i="7"/>
  <c r="N331" i="7"/>
  <c r="M331" i="7"/>
  <c r="Q330" i="7"/>
  <c r="P330" i="7"/>
  <c r="O330" i="7"/>
  <c r="N330" i="7"/>
  <c r="M330" i="7"/>
  <c r="Q329" i="7"/>
  <c r="P329" i="7"/>
  <c r="O329" i="7"/>
  <c r="N329" i="7"/>
  <c r="M329" i="7"/>
  <c r="Q328" i="7"/>
  <c r="P328" i="7"/>
  <c r="O328" i="7"/>
  <c r="N328" i="7"/>
  <c r="M328" i="7"/>
  <c r="Q327" i="7"/>
  <c r="P327" i="7"/>
  <c r="O327" i="7"/>
  <c r="N327" i="7"/>
  <c r="M327" i="7"/>
  <c r="Q326" i="7"/>
  <c r="P326" i="7"/>
  <c r="O326" i="7"/>
  <c r="N326" i="7"/>
  <c r="M326" i="7"/>
  <c r="Q325" i="7"/>
  <c r="P325" i="7"/>
  <c r="O325" i="7"/>
  <c r="N325" i="7"/>
  <c r="M325" i="7"/>
  <c r="Q324" i="7"/>
  <c r="P324" i="7"/>
  <c r="O324" i="7"/>
  <c r="N324" i="7"/>
  <c r="M324" i="7"/>
  <c r="Q323" i="7"/>
  <c r="P323" i="7"/>
  <c r="O323" i="7"/>
  <c r="N323" i="7"/>
  <c r="M323" i="7"/>
  <c r="Q322" i="7"/>
  <c r="P322" i="7"/>
  <c r="O322" i="7"/>
  <c r="N322" i="7"/>
  <c r="M322" i="7"/>
  <c r="Q321" i="7"/>
  <c r="P321" i="7"/>
  <c r="O321" i="7"/>
  <c r="N321" i="7"/>
  <c r="M321" i="7"/>
  <c r="Q320" i="7"/>
  <c r="P320" i="7"/>
  <c r="O320" i="7"/>
  <c r="N320" i="7"/>
  <c r="M320" i="7"/>
  <c r="Q319" i="7"/>
  <c r="P319" i="7"/>
  <c r="O319" i="7"/>
  <c r="N319" i="7"/>
  <c r="M319" i="7"/>
  <c r="Q318" i="7"/>
  <c r="P318" i="7"/>
  <c r="O318" i="7"/>
  <c r="N318" i="7"/>
  <c r="M318" i="7"/>
  <c r="Q317" i="7"/>
  <c r="P317" i="7"/>
  <c r="O317" i="7"/>
  <c r="N317" i="7"/>
  <c r="M317" i="7"/>
  <c r="Q316" i="7"/>
  <c r="P316" i="7"/>
  <c r="O316" i="7"/>
  <c r="N316" i="7"/>
  <c r="M316" i="7"/>
  <c r="Q315" i="7"/>
  <c r="P315" i="7"/>
  <c r="O315" i="7"/>
  <c r="N315" i="7"/>
  <c r="M315" i="7"/>
  <c r="Q314" i="7"/>
  <c r="P314" i="7"/>
  <c r="O314" i="7"/>
  <c r="N314" i="7"/>
  <c r="M314" i="7"/>
  <c r="Q313" i="7"/>
  <c r="P313" i="7"/>
  <c r="O313" i="7"/>
  <c r="N313" i="7"/>
  <c r="M313" i="7"/>
  <c r="Q312" i="7"/>
  <c r="P312" i="7"/>
  <c r="O312" i="7"/>
  <c r="N312" i="7"/>
  <c r="M312" i="7"/>
  <c r="Q311" i="7"/>
  <c r="P311" i="7"/>
  <c r="O311" i="7"/>
  <c r="N311" i="7"/>
  <c r="M311" i="7"/>
  <c r="Q310" i="7"/>
  <c r="P310" i="7"/>
  <c r="O310" i="7"/>
  <c r="N310" i="7"/>
  <c r="M310" i="7"/>
  <c r="Q309" i="7"/>
  <c r="P309" i="7"/>
  <c r="O309" i="7"/>
  <c r="N309" i="7"/>
  <c r="M309" i="7"/>
  <c r="Q308" i="7"/>
  <c r="P308" i="7"/>
  <c r="O308" i="7"/>
  <c r="N308" i="7"/>
  <c r="M308" i="7"/>
  <c r="Q307" i="7"/>
  <c r="P307" i="7"/>
  <c r="O307" i="7"/>
  <c r="N307" i="7"/>
  <c r="M307" i="7"/>
  <c r="Q306" i="7"/>
  <c r="P306" i="7"/>
  <c r="O306" i="7"/>
  <c r="N306" i="7"/>
  <c r="M306" i="7"/>
  <c r="Q305" i="7"/>
  <c r="P305" i="7"/>
  <c r="O305" i="7"/>
  <c r="N305" i="7"/>
  <c r="M305" i="7"/>
  <c r="Q304" i="7"/>
  <c r="P304" i="7"/>
  <c r="O304" i="7"/>
  <c r="N304" i="7"/>
  <c r="M304" i="7"/>
  <c r="Q303" i="7"/>
  <c r="P303" i="7"/>
  <c r="O303" i="7"/>
  <c r="N303" i="7"/>
  <c r="M303" i="7"/>
  <c r="Q302" i="7"/>
  <c r="P302" i="7"/>
  <c r="O302" i="7"/>
  <c r="N302" i="7"/>
  <c r="M302" i="7"/>
  <c r="Q301" i="7"/>
  <c r="P301" i="7"/>
  <c r="O301" i="7"/>
  <c r="N301" i="7"/>
  <c r="M301" i="7"/>
  <c r="Q300" i="7"/>
  <c r="P300" i="7"/>
  <c r="O300" i="7"/>
  <c r="N300" i="7"/>
  <c r="M300" i="7"/>
  <c r="Q299" i="7"/>
  <c r="P299" i="7"/>
  <c r="O299" i="7"/>
  <c r="N299" i="7"/>
  <c r="M299" i="7"/>
  <c r="Q298" i="7"/>
  <c r="P298" i="7"/>
  <c r="O298" i="7"/>
  <c r="N298" i="7"/>
  <c r="M298" i="7"/>
  <c r="Q297" i="7"/>
  <c r="P297" i="7"/>
  <c r="O297" i="7"/>
  <c r="N297" i="7"/>
  <c r="M297" i="7"/>
  <c r="Q296" i="7"/>
  <c r="P296" i="7"/>
  <c r="O296" i="7"/>
  <c r="N296" i="7"/>
  <c r="M296" i="7"/>
  <c r="Q295" i="7"/>
  <c r="P295" i="7"/>
  <c r="O295" i="7"/>
  <c r="N295" i="7"/>
  <c r="M295" i="7"/>
  <c r="Q294" i="7"/>
  <c r="P294" i="7"/>
  <c r="O294" i="7"/>
  <c r="N294" i="7"/>
  <c r="M294" i="7"/>
  <c r="Q293" i="7"/>
  <c r="P293" i="7"/>
  <c r="O293" i="7"/>
  <c r="N293" i="7"/>
  <c r="M293" i="7"/>
  <c r="Q292" i="7"/>
  <c r="P292" i="7"/>
  <c r="O292" i="7"/>
  <c r="N292" i="7"/>
  <c r="M292" i="7"/>
  <c r="Q291" i="7"/>
  <c r="P291" i="7"/>
  <c r="O291" i="7"/>
  <c r="N291" i="7"/>
  <c r="M291" i="7"/>
  <c r="Q290" i="7"/>
  <c r="P290" i="7"/>
  <c r="O290" i="7"/>
  <c r="N290" i="7"/>
  <c r="M290" i="7"/>
  <c r="Q289" i="7"/>
  <c r="P289" i="7"/>
  <c r="O289" i="7"/>
  <c r="N289" i="7"/>
  <c r="M289" i="7"/>
  <c r="Q288" i="7"/>
  <c r="P288" i="7"/>
  <c r="O288" i="7"/>
  <c r="N288" i="7"/>
  <c r="M288" i="7"/>
  <c r="Q287" i="7"/>
  <c r="P287" i="7"/>
  <c r="O287" i="7"/>
  <c r="N287" i="7"/>
  <c r="M287" i="7"/>
  <c r="Q286" i="7"/>
  <c r="P286" i="7"/>
  <c r="O286" i="7"/>
  <c r="N286" i="7"/>
  <c r="M286" i="7"/>
  <c r="Q285" i="7"/>
  <c r="P285" i="7"/>
  <c r="O285" i="7"/>
  <c r="N285" i="7"/>
  <c r="M285" i="7"/>
  <c r="Q284" i="7"/>
  <c r="P284" i="7"/>
  <c r="O284" i="7"/>
  <c r="N284" i="7"/>
  <c r="M284" i="7"/>
  <c r="Q283" i="7"/>
  <c r="P283" i="7"/>
  <c r="O283" i="7"/>
  <c r="N283" i="7"/>
  <c r="M283" i="7"/>
  <c r="Q282" i="7"/>
  <c r="P282" i="7"/>
  <c r="O282" i="7"/>
  <c r="N282" i="7"/>
  <c r="M282" i="7"/>
  <c r="Q281" i="7"/>
  <c r="P281" i="7"/>
  <c r="O281" i="7"/>
  <c r="N281" i="7"/>
  <c r="M281" i="7"/>
  <c r="Q280" i="7"/>
  <c r="P280" i="7"/>
  <c r="O280" i="7"/>
  <c r="N280" i="7"/>
  <c r="M280" i="7"/>
  <c r="Q279" i="7"/>
  <c r="P279" i="7"/>
  <c r="O279" i="7"/>
  <c r="N279" i="7"/>
  <c r="M279" i="7"/>
  <c r="Q278" i="7"/>
  <c r="P278" i="7"/>
  <c r="O278" i="7"/>
  <c r="N278" i="7"/>
  <c r="M278" i="7"/>
  <c r="Q277" i="7"/>
  <c r="P277" i="7"/>
  <c r="O277" i="7"/>
  <c r="N277" i="7"/>
  <c r="M277" i="7"/>
  <c r="Q276" i="7"/>
  <c r="P276" i="7"/>
  <c r="O276" i="7"/>
  <c r="N276" i="7"/>
  <c r="M276" i="7"/>
  <c r="Q275" i="7"/>
  <c r="P275" i="7"/>
  <c r="O275" i="7"/>
  <c r="N275" i="7"/>
  <c r="M275" i="7"/>
  <c r="Q274" i="7"/>
  <c r="P274" i="7"/>
  <c r="O274" i="7"/>
  <c r="N274" i="7"/>
  <c r="M274" i="7"/>
  <c r="Q273" i="7"/>
  <c r="P273" i="7"/>
  <c r="O273" i="7"/>
  <c r="N273" i="7"/>
  <c r="M273" i="7"/>
  <c r="Q272" i="7"/>
  <c r="P272" i="7"/>
  <c r="O272" i="7"/>
  <c r="N272" i="7"/>
  <c r="M272" i="7"/>
  <c r="Q271" i="7"/>
  <c r="P271" i="7"/>
  <c r="O271" i="7"/>
  <c r="N271" i="7"/>
  <c r="M271" i="7"/>
  <c r="Q270" i="7"/>
  <c r="P270" i="7"/>
  <c r="O270" i="7"/>
  <c r="N270" i="7"/>
  <c r="M270" i="7"/>
  <c r="Q269" i="7"/>
  <c r="P269" i="7"/>
  <c r="O269" i="7"/>
  <c r="N269" i="7"/>
  <c r="M269" i="7"/>
  <c r="Q268" i="7"/>
  <c r="P268" i="7"/>
  <c r="O268" i="7"/>
  <c r="N268" i="7"/>
  <c r="M268" i="7"/>
  <c r="Q267" i="7"/>
  <c r="P267" i="7"/>
  <c r="O267" i="7"/>
  <c r="N267" i="7"/>
  <c r="M267" i="7"/>
  <c r="Q266" i="7"/>
  <c r="P266" i="7"/>
  <c r="O266" i="7"/>
  <c r="N266" i="7"/>
  <c r="M266" i="7"/>
  <c r="Q265" i="7"/>
  <c r="P265" i="7"/>
  <c r="O265" i="7"/>
  <c r="N265" i="7"/>
  <c r="M265" i="7"/>
  <c r="Q264" i="7"/>
  <c r="P264" i="7"/>
  <c r="O264" i="7"/>
  <c r="N264" i="7"/>
  <c r="M264" i="7"/>
  <c r="Q263" i="7"/>
  <c r="P263" i="7"/>
  <c r="O263" i="7"/>
  <c r="N263" i="7"/>
  <c r="M263" i="7"/>
  <c r="Q262" i="7"/>
  <c r="P262" i="7"/>
  <c r="O262" i="7"/>
  <c r="N262" i="7"/>
  <c r="M262" i="7"/>
  <c r="Q261" i="7"/>
  <c r="P261" i="7"/>
  <c r="O261" i="7"/>
  <c r="N261" i="7"/>
  <c r="M261" i="7"/>
  <c r="Q260" i="7"/>
  <c r="P260" i="7"/>
  <c r="O260" i="7"/>
  <c r="N260" i="7"/>
  <c r="M260" i="7"/>
  <c r="Q259" i="7"/>
  <c r="P259" i="7"/>
  <c r="O259" i="7"/>
  <c r="N259" i="7"/>
  <c r="M259" i="7"/>
  <c r="Q258" i="7"/>
  <c r="P258" i="7"/>
  <c r="O258" i="7"/>
  <c r="N258" i="7"/>
  <c r="M258" i="7"/>
  <c r="Q257" i="7"/>
  <c r="P257" i="7"/>
  <c r="O257" i="7"/>
  <c r="N257" i="7"/>
  <c r="M257" i="7"/>
  <c r="Q256" i="7"/>
  <c r="P256" i="7"/>
  <c r="O256" i="7"/>
  <c r="N256" i="7"/>
  <c r="M256" i="7"/>
  <c r="Q255" i="7"/>
  <c r="P255" i="7"/>
  <c r="O255" i="7"/>
  <c r="N255" i="7"/>
  <c r="M255" i="7"/>
  <c r="Q254" i="7"/>
  <c r="P254" i="7"/>
  <c r="O254" i="7"/>
  <c r="N254" i="7"/>
  <c r="M254" i="7"/>
  <c r="Q253" i="7"/>
  <c r="P253" i="7"/>
  <c r="O253" i="7"/>
  <c r="N253" i="7"/>
  <c r="M253" i="7"/>
  <c r="Q252" i="7"/>
  <c r="P252" i="7"/>
  <c r="O252" i="7"/>
  <c r="N252" i="7"/>
  <c r="M252" i="7"/>
  <c r="Q251" i="7"/>
  <c r="P251" i="7"/>
  <c r="O251" i="7"/>
  <c r="N251" i="7"/>
  <c r="M251" i="7"/>
  <c r="Q250" i="7"/>
  <c r="P250" i="7"/>
  <c r="O250" i="7"/>
  <c r="N250" i="7"/>
  <c r="M250" i="7"/>
  <c r="Q249" i="7"/>
  <c r="P249" i="7"/>
  <c r="O249" i="7"/>
  <c r="N249" i="7"/>
  <c r="M249" i="7"/>
  <c r="Q248" i="7"/>
  <c r="P248" i="7"/>
  <c r="O248" i="7"/>
  <c r="N248" i="7"/>
  <c r="M248" i="7"/>
  <c r="Q247" i="7"/>
  <c r="P247" i="7"/>
  <c r="O247" i="7"/>
  <c r="N247" i="7"/>
  <c r="M247" i="7"/>
  <c r="Q246" i="7"/>
  <c r="P246" i="7"/>
  <c r="O246" i="7"/>
  <c r="N246" i="7"/>
  <c r="M246" i="7"/>
  <c r="Q245" i="7"/>
  <c r="P245" i="7"/>
  <c r="O245" i="7"/>
  <c r="N245" i="7"/>
  <c r="M245" i="7"/>
  <c r="Q244" i="7"/>
  <c r="P244" i="7"/>
  <c r="O244" i="7"/>
  <c r="N244" i="7"/>
  <c r="M244" i="7"/>
  <c r="Q243" i="7"/>
  <c r="P243" i="7"/>
  <c r="O243" i="7"/>
  <c r="N243" i="7"/>
  <c r="M243" i="7"/>
  <c r="Q242" i="7"/>
  <c r="P242" i="7"/>
  <c r="O242" i="7"/>
  <c r="N242" i="7"/>
  <c r="M242" i="7"/>
  <c r="Q241" i="7"/>
  <c r="P241" i="7"/>
  <c r="O241" i="7"/>
  <c r="N241" i="7"/>
  <c r="M241" i="7"/>
  <c r="Q240" i="7"/>
  <c r="P240" i="7"/>
  <c r="O240" i="7"/>
  <c r="N240" i="7"/>
  <c r="M240" i="7"/>
  <c r="Q239" i="7"/>
  <c r="P239" i="7"/>
  <c r="O239" i="7"/>
  <c r="N239" i="7"/>
  <c r="M239" i="7"/>
  <c r="Q238" i="7"/>
  <c r="P238" i="7"/>
  <c r="O238" i="7"/>
  <c r="N238" i="7"/>
  <c r="M238" i="7"/>
  <c r="Q237" i="7"/>
  <c r="P237" i="7"/>
  <c r="O237" i="7"/>
  <c r="N237" i="7"/>
  <c r="M237" i="7"/>
  <c r="Q236" i="7"/>
  <c r="P236" i="7"/>
  <c r="O236" i="7"/>
  <c r="N236" i="7"/>
  <c r="M236" i="7"/>
  <c r="Q235" i="7"/>
  <c r="P235" i="7"/>
  <c r="O235" i="7"/>
  <c r="N235" i="7"/>
  <c r="M235" i="7"/>
  <c r="Q234" i="7"/>
  <c r="P234" i="7"/>
  <c r="O234" i="7"/>
  <c r="N234" i="7"/>
  <c r="M234" i="7"/>
  <c r="Q233" i="7"/>
  <c r="P233" i="7"/>
  <c r="O233" i="7"/>
  <c r="N233" i="7"/>
  <c r="M233" i="7"/>
  <c r="Q232" i="7"/>
  <c r="P232" i="7"/>
  <c r="O232" i="7"/>
  <c r="N232" i="7"/>
  <c r="M232" i="7"/>
  <c r="Q231" i="7"/>
  <c r="P231" i="7"/>
  <c r="O231" i="7"/>
  <c r="N231" i="7"/>
  <c r="M231" i="7"/>
  <c r="Q230" i="7"/>
  <c r="P230" i="7"/>
  <c r="O230" i="7"/>
  <c r="N230" i="7"/>
  <c r="M230" i="7"/>
  <c r="Q229" i="7"/>
  <c r="P229" i="7"/>
  <c r="O229" i="7"/>
  <c r="N229" i="7"/>
  <c r="M229" i="7"/>
  <c r="Q228" i="7"/>
  <c r="P228" i="7"/>
  <c r="O228" i="7"/>
  <c r="N228" i="7"/>
  <c r="M228" i="7"/>
  <c r="Q227" i="7"/>
  <c r="P227" i="7"/>
  <c r="O227" i="7"/>
  <c r="N227" i="7"/>
  <c r="M227" i="7"/>
  <c r="C16" i="9" l="1"/>
  <c r="P52" i="10" l="1"/>
  <c r="I378" i="7" l="1"/>
  <c r="H378" i="7"/>
  <c r="G378" i="7"/>
  <c r="F378" i="7"/>
  <c r="C378" i="7"/>
  <c r="O13" i="10"/>
  <c r="G13" i="10"/>
  <c r="C31" i="5"/>
  <c r="F65" i="5" l="1"/>
  <c r="E65" i="5"/>
  <c r="D65" i="5"/>
  <c r="C65" i="5"/>
  <c r="F64" i="5"/>
  <c r="E64" i="5"/>
  <c r="D64" i="5"/>
  <c r="C64" i="5"/>
  <c r="F63" i="5"/>
  <c r="E63" i="5"/>
  <c r="D63" i="5"/>
  <c r="C63" i="5"/>
  <c r="F62" i="5"/>
  <c r="E62" i="5"/>
  <c r="D62" i="5"/>
  <c r="C62" i="5"/>
  <c r="F61" i="5"/>
  <c r="E61" i="5"/>
  <c r="D61" i="5"/>
  <c r="C61" i="5"/>
  <c r="I379" i="7"/>
  <c r="H379" i="7"/>
  <c r="G379" i="7"/>
  <c r="F379" i="7"/>
  <c r="I377" i="7"/>
  <c r="H377" i="7"/>
  <c r="G377" i="7"/>
  <c r="F377" i="7"/>
  <c r="I376" i="7"/>
  <c r="H376" i="7"/>
  <c r="G376" i="7"/>
  <c r="F376" i="7"/>
  <c r="I375" i="7"/>
  <c r="H375" i="7"/>
  <c r="G375" i="7"/>
  <c r="F375" i="7"/>
  <c r="I374" i="7"/>
  <c r="H374" i="7"/>
  <c r="G374" i="7"/>
  <c r="F374" i="7"/>
  <c r="I373" i="7"/>
  <c r="H373" i="7"/>
  <c r="G373" i="7"/>
  <c r="F373" i="7"/>
  <c r="I372" i="7"/>
  <c r="H372" i="7"/>
  <c r="G372" i="7"/>
  <c r="F372" i="7"/>
  <c r="I371" i="7"/>
  <c r="H371" i="7"/>
  <c r="G371" i="7"/>
  <c r="F371" i="7"/>
  <c r="I370" i="7"/>
  <c r="H370" i="7"/>
  <c r="G370" i="7"/>
  <c r="F370" i="7"/>
  <c r="I369" i="7"/>
  <c r="H369" i="7"/>
  <c r="G369" i="7"/>
  <c r="F369" i="7"/>
  <c r="I368" i="7"/>
  <c r="H368" i="7"/>
  <c r="G368" i="7"/>
  <c r="F368" i="7"/>
  <c r="I367" i="7"/>
  <c r="H367" i="7"/>
  <c r="G367" i="7"/>
  <c r="F367" i="7"/>
  <c r="I366" i="7"/>
  <c r="H366" i="7"/>
  <c r="G366" i="7"/>
  <c r="F366" i="7"/>
  <c r="I365" i="7"/>
  <c r="H365" i="7"/>
  <c r="G365" i="7"/>
  <c r="F365" i="7"/>
  <c r="I364" i="7"/>
  <c r="H364" i="7"/>
  <c r="G364" i="7"/>
  <c r="F364" i="7"/>
  <c r="I363" i="7"/>
  <c r="H363" i="7"/>
  <c r="G363" i="7"/>
  <c r="F363" i="7"/>
  <c r="I362" i="7"/>
  <c r="H362" i="7"/>
  <c r="G362" i="7"/>
  <c r="F362" i="7"/>
  <c r="I361" i="7"/>
  <c r="H361" i="7"/>
  <c r="G361" i="7"/>
  <c r="F361" i="7"/>
  <c r="I360" i="7"/>
  <c r="H360" i="7"/>
  <c r="G360" i="7"/>
  <c r="F360" i="7"/>
  <c r="I359" i="7"/>
  <c r="H359" i="7"/>
  <c r="G359" i="7"/>
  <c r="F359" i="7"/>
  <c r="I358" i="7"/>
  <c r="H358" i="7"/>
  <c r="G358" i="7"/>
  <c r="F358" i="7"/>
  <c r="I357" i="7"/>
  <c r="H357" i="7"/>
  <c r="G357" i="7"/>
  <c r="F357" i="7"/>
  <c r="I356" i="7"/>
  <c r="H356" i="7"/>
  <c r="G356" i="7"/>
  <c r="F356" i="7"/>
  <c r="I355" i="7"/>
  <c r="H355" i="7"/>
  <c r="G355" i="7"/>
  <c r="F355" i="7"/>
  <c r="I354" i="7"/>
  <c r="H354" i="7"/>
  <c r="G354" i="7"/>
  <c r="F354" i="7"/>
  <c r="I353" i="7"/>
  <c r="H353" i="7"/>
  <c r="G353" i="7"/>
  <c r="F353" i="7"/>
  <c r="I352" i="7"/>
  <c r="H352" i="7"/>
  <c r="G352" i="7"/>
  <c r="F352" i="7"/>
  <c r="I351" i="7"/>
  <c r="H351" i="7"/>
  <c r="G351" i="7"/>
  <c r="F351" i="7"/>
  <c r="I350" i="7"/>
  <c r="H350" i="7"/>
  <c r="G350" i="7"/>
  <c r="F350" i="7"/>
  <c r="I349" i="7"/>
  <c r="H349" i="7"/>
  <c r="G349" i="7"/>
  <c r="F349" i="7"/>
  <c r="I348" i="7"/>
  <c r="H348" i="7"/>
  <c r="G348" i="7"/>
  <c r="F348" i="7"/>
  <c r="I347" i="7"/>
  <c r="H347" i="7"/>
  <c r="G347" i="7"/>
  <c r="F347" i="7"/>
  <c r="I346" i="7"/>
  <c r="H346" i="7"/>
  <c r="G346" i="7"/>
  <c r="F346" i="7"/>
  <c r="I345" i="7"/>
  <c r="H345" i="7"/>
  <c r="G345" i="7"/>
  <c r="F345" i="7"/>
  <c r="I344" i="7"/>
  <c r="H344" i="7"/>
  <c r="G344" i="7"/>
  <c r="F344" i="7"/>
  <c r="I343" i="7"/>
  <c r="H343" i="7"/>
  <c r="G343" i="7"/>
  <c r="F343" i="7"/>
  <c r="I342" i="7"/>
  <c r="H342" i="7"/>
  <c r="G342" i="7"/>
  <c r="F342" i="7"/>
  <c r="I341" i="7"/>
  <c r="H341" i="7"/>
  <c r="G341" i="7"/>
  <c r="F341" i="7"/>
  <c r="I340" i="7"/>
  <c r="H340" i="7"/>
  <c r="G340" i="7"/>
  <c r="F340" i="7"/>
  <c r="I339" i="7"/>
  <c r="H339" i="7"/>
  <c r="G339" i="7"/>
  <c r="F339" i="7"/>
  <c r="I338" i="7"/>
  <c r="H338" i="7"/>
  <c r="G338" i="7"/>
  <c r="F338" i="7"/>
  <c r="I337" i="7"/>
  <c r="H337" i="7"/>
  <c r="G337" i="7"/>
  <c r="F337" i="7"/>
  <c r="I336" i="7"/>
  <c r="H336" i="7"/>
  <c r="G336" i="7"/>
  <c r="F336" i="7"/>
  <c r="I335" i="7"/>
  <c r="H335" i="7"/>
  <c r="G335" i="7"/>
  <c r="F335" i="7"/>
  <c r="I334" i="7"/>
  <c r="H334" i="7"/>
  <c r="G334" i="7"/>
  <c r="F334" i="7"/>
  <c r="I333" i="7"/>
  <c r="H333" i="7"/>
  <c r="G333" i="7"/>
  <c r="F333" i="7"/>
  <c r="I332" i="7"/>
  <c r="H332" i="7"/>
  <c r="G332" i="7"/>
  <c r="F332" i="7"/>
  <c r="I331" i="7"/>
  <c r="H331" i="7"/>
  <c r="G331" i="7"/>
  <c r="F331" i="7"/>
  <c r="I330" i="7"/>
  <c r="H330" i="7"/>
  <c r="G330" i="7"/>
  <c r="F330" i="7"/>
  <c r="I329" i="7"/>
  <c r="H329" i="7"/>
  <c r="G329" i="7"/>
  <c r="F329" i="7"/>
  <c r="I328" i="7"/>
  <c r="H328" i="7"/>
  <c r="G328" i="7"/>
  <c r="F328" i="7"/>
  <c r="I327" i="7"/>
  <c r="H327" i="7"/>
  <c r="G327" i="7"/>
  <c r="F327" i="7"/>
  <c r="I326" i="7"/>
  <c r="H326" i="7"/>
  <c r="G326" i="7"/>
  <c r="F326" i="7"/>
  <c r="I325" i="7"/>
  <c r="H325" i="7"/>
  <c r="G325" i="7"/>
  <c r="F325" i="7"/>
  <c r="I324" i="7"/>
  <c r="H324" i="7"/>
  <c r="G324" i="7"/>
  <c r="F324" i="7"/>
  <c r="I323" i="7"/>
  <c r="H323" i="7"/>
  <c r="G323" i="7"/>
  <c r="F323" i="7"/>
  <c r="I322" i="7"/>
  <c r="H322" i="7"/>
  <c r="G322" i="7"/>
  <c r="F322" i="7"/>
  <c r="I321" i="7"/>
  <c r="H321" i="7"/>
  <c r="G321" i="7"/>
  <c r="F321" i="7"/>
  <c r="I320" i="7"/>
  <c r="H320" i="7"/>
  <c r="G320" i="7"/>
  <c r="F320" i="7"/>
  <c r="I319" i="7"/>
  <c r="H319" i="7"/>
  <c r="G319" i="7"/>
  <c r="F319" i="7"/>
  <c r="I318" i="7"/>
  <c r="H318" i="7"/>
  <c r="G318" i="7"/>
  <c r="F318" i="7"/>
  <c r="I317" i="7"/>
  <c r="H317" i="7"/>
  <c r="G317" i="7"/>
  <c r="F317" i="7"/>
  <c r="I316" i="7"/>
  <c r="H316" i="7"/>
  <c r="G316" i="7"/>
  <c r="F316" i="7"/>
  <c r="I315" i="7"/>
  <c r="H315" i="7"/>
  <c r="G315" i="7"/>
  <c r="F315" i="7"/>
  <c r="I314" i="7"/>
  <c r="H314" i="7"/>
  <c r="G314" i="7"/>
  <c r="F314" i="7"/>
  <c r="I313" i="7"/>
  <c r="H313" i="7"/>
  <c r="G313" i="7"/>
  <c r="F313" i="7"/>
  <c r="I312" i="7"/>
  <c r="H312" i="7"/>
  <c r="G312" i="7"/>
  <c r="F312" i="7"/>
  <c r="I311" i="7"/>
  <c r="H311" i="7"/>
  <c r="G311" i="7"/>
  <c r="F311" i="7"/>
  <c r="I310" i="7"/>
  <c r="H310" i="7"/>
  <c r="G310" i="7"/>
  <c r="F310" i="7"/>
  <c r="I309" i="7"/>
  <c r="H309" i="7"/>
  <c r="G309" i="7"/>
  <c r="F309" i="7"/>
  <c r="I308" i="7"/>
  <c r="H308" i="7"/>
  <c r="G308" i="7"/>
  <c r="F308" i="7"/>
  <c r="I307" i="7"/>
  <c r="H307" i="7"/>
  <c r="G307" i="7"/>
  <c r="F307" i="7"/>
  <c r="I306" i="7"/>
  <c r="H306" i="7"/>
  <c r="G306" i="7"/>
  <c r="F306" i="7"/>
  <c r="I305" i="7"/>
  <c r="H305" i="7"/>
  <c r="G305" i="7"/>
  <c r="F305" i="7"/>
  <c r="I304" i="7"/>
  <c r="H304" i="7"/>
  <c r="G304" i="7"/>
  <c r="F304" i="7"/>
  <c r="I303" i="7"/>
  <c r="H303" i="7"/>
  <c r="G303" i="7"/>
  <c r="F303" i="7"/>
  <c r="I302" i="7"/>
  <c r="H302" i="7"/>
  <c r="G302" i="7"/>
  <c r="F302" i="7"/>
  <c r="I301" i="7"/>
  <c r="H301" i="7"/>
  <c r="G301" i="7"/>
  <c r="F301" i="7"/>
  <c r="I300" i="7"/>
  <c r="H300" i="7"/>
  <c r="G300" i="7"/>
  <c r="F300" i="7"/>
  <c r="I299" i="7"/>
  <c r="H299" i="7"/>
  <c r="G299" i="7"/>
  <c r="F299" i="7"/>
  <c r="I298" i="7"/>
  <c r="H298" i="7"/>
  <c r="G298" i="7"/>
  <c r="F298" i="7"/>
  <c r="I297" i="7"/>
  <c r="H297" i="7"/>
  <c r="G297" i="7"/>
  <c r="F297" i="7"/>
  <c r="I296" i="7"/>
  <c r="H296" i="7"/>
  <c r="G296" i="7"/>
  <c r="F296" i="7"/>
  <c r="I295" i="7"/>
  <c r="H295" i="7"/>
  <c r="G295" i="7"/>
  <c r="F295" i="7"/>
  <c r="I294" i="7"/>
  <c r="H294" i="7"/>
  <c r="G294" i="7"/>
  <c r="F294" i="7"/>
  <c r="I293" i="7"/>
  <c r="H293" i="7"/>
  <c r="G293" i="7"/>
  <c r="F293" i="7"/>
  <c r="I292" i="7"/>
  <c r="H292" i="7"/>
  <c r="G292" i="7"/>
  <c r="F292" i="7"/>
  <c r="I291" i="7"/>
  <c r="H291" i="7"/>
  <c r="G291" i="7"/>
  <c r="F291" i="7"/>
  <c r="I290" i="7"/>
  <c r="H290" i="7"/>
  <c r="G290" i="7"/>
  <c r="F290" i="7"/>
  <c r="I289" i="7"/>
  <c r="H289" i="7"/>
  <c r="G289" i="7"/>
  <c r="F289" i="7"/>
  <c r="I288" i="7"/>
  <c r="H288" i="7"/>
  <c r="G288" i="7"/>
  <c r="F288" i="7"/>
  <c r="I287" i="7"/>
  <c r="H287" i="7"/>
  <c r="G287" i="7"/>
  <c r="F287" i="7"/>
  <c r="I286" i="7"/>
  <c r="H286" i="7"/>
  <c r="G286" i="7"/>
  <c r="F286" i="7"/>
  <c r="I285" i="7"/>
  <c r="H285" i="7"/>
  <c r="G285" i="7"/>
  <c r="F285" i="7"/>
  <c r="I284" i="7"/>
  <c r="H284" i="7"/>
  <c r="G284" i="7"/>
  <c r="F284" i="7"/>
  <c r="I283" i="7"/>
  <c r="H283" i="7"/>
  <c r="G283" i="7"/>
  <c r="F283" i="7"/>
  <c r="I282" i="7"/>
  <c r="H282" i="7"/>
  <c r="G282" i="7"/>
  <c r="F282" i="7"/>
  <c r="I281" i="7"/>
  <c r="H281" i="7"/>
  <c r="G281" i="7"/>
  <c r="F281" i="7"/>
  <c r="I280" i="7"/>
  <c r="H280" i="7"/>
  <c r="G280" i="7"/>
  <c r="F280" i="7"/>
  <c r="I279" i="7"/>
  <c r="H279" i="7"/>
  <c r="G279" i="7"/>
  <c r="F279" i="7"/>
  <c r="I278" i="7"/>
  <c r="H278" i="7"/>
  <c r="G278" i="7"/>
  <c r="F278" i="7"/>
  <c r="I277" i="7"/>
  <c r="H277" i="7"/>
  <c r="G277" i="7"/>
  <c r="F277" i="7"/>
  <c r="I276" i="7"/>
  <c r="H276" i="7"/>
  <c r="G276" i="7"/>
  <c r="F276" i="7"/>
  <c r="I275" i="7"/>
  <c r="H275" i="7"/>
  <c r="G275" i="7"/>
  <c r="F275" i="7"/>
  <c r="I274" i="7"/>
  <c r="H274" i="7"/>
  <c r="G274" i="7"/>
  <c r="F274" i="7"/>
  <c r="I273" i="7"/>
  <c r="H273" i="7"/>
  <c r="G273" i="7"/>
  <c r="F273" i="7"/>
  <c r="I272" i="7"/>
  <c r="H272" i="7"/>
  <c r="G272" i="7"/>
  <c r="F272" i="7"/>
  <c r="I271" i="7"/>
  <c r="H271" i="7"/>
  <c r="G271" i="7"/>
  <c r="F271" i="7"/>
  <c r="I270" i="7"/>
  <c r="H270" i="7"/>
  <c r="G270" i="7"/>
  <c r="F270" i="7"/>
  <c r="I269" i="7"/>
  <c r="H269" i="7"/>
  <c r="G269" i="7"/>
  <c r="F269" i="7"/>
  <c r="I268" i="7"/>
  <c r="H268" i="7"/>
  <c r="G268" i="7"/>
  <c r="F268" i="7"/>
  <c r="I267" i="7"/>
  <c r="H267" i="7"/>
  <c r="G267" i="7"/>
  <c r="F267" i="7"/>
  <c r="I266" i="7"/>
  <c r="H266" i="7"/>
  <c r="G266" i="7"/>
  <c r="F266" i="7"/>
  <c r="I265" i="7"/>
  <c r="H265" i="7"/>
  <c r="G265" i="7"/>
  <c r="F265" i="7"/>
  <c r="I264" i="7"/>
  <c r="H264" i="7"/>
  <c r="G264" i="7"/>
  <c r="F264" i="7"/>
  <c r="I263" i="7"/>
  <c r="H263" i="7"/>
  <c r="G263" i="7"/>
  <c r="F263" i="7"/>
  <c r="I262" i="7"/>
  <c r="H262" i="7"/>
  <c r="G262" i="7"/>
  <c r="F262" i="7"/>
  <c r="I261" i="7"/>
  <c r="H261" i="7"/>
  <c r="G261" i="7"/>
  <c r="F261" i="7"/>
  <c r="I260" i="7"/>
  <c r="H260" i="7"/>
  <c r="G260" i="7"/>
  <c r="F260" i="7"/>
  <c r="I259" i="7"/>
  <c r="H259" i="7"/>
  <c r="G259" i="7"/>
  <c r="F259" i="7"/>
  <c r="I258" i="7"/>
  <c r="H258" i="7"/>
  <c r="G258" i="7"/>
  <c r="F258" i="7"/>
  <c r="I257" i="7"/>
  <c r="H257" i="7"/>
  <c r="G257" i="7"/>
  <c r="F257" i="7"/>
  <c r="I256" i="7"/>
  <c r="H256" i="7"/>
  <c r="G256" i="7"/>
  <c r="F256" i="7"/>
  <c r="I255" i="7"/>
  <c r="H255" i="7"/>
  <c r="G255" i="7"/>
  <c r="F255" i="7"/>
  <c r="I254" i="7"/>
  <c r="H254" i="7"/>
  <c r="G254" i="7"/>
  <c r="F254" i="7"/>
  <c r="I253" i="7"/>
  <c r="H253" i="7"/>
  <c r="G253" i="7"/>
  <c r="F253" i="7"/>
  <c r="I252" i="7"/>
  <c r="H252" i="7"/>
  <c r="G252" i="7"/>
  <c r="F252" i="7"/>
  <c r="I251" i="7"/>
  <c r="H251" i="7"/>
  <c r="G251" i="7"/>
  <c r="F251" i="7"/>
  <c r="I250" i="7"/>
  <c r="H250" i="7"/>
  <c r="G250" i="7"/>
  <c r="F250" i="7"/>
  <c r="I249" i="7"/>
  <c r="H249" i="7"/>
  <c r="G249" i="7"/>
  <c r="F249" i="7"/>
  <c r="I248" i="7"/>
  <c r="H248" i="7"/>
  <c r="G248" i="7"/>
  <c r="F248" i="7"/>
  <c r="I247" i="7"/>
  <c r="H247" i="7"/>
  <c r="G247" i="7"/>
  <c r="F247" i="7"/>
  <c r="I246" i="7"/>
  <c r="H246" i="7"/>
  <c r="G246" i="7"/>
  <c r="F246" i="7"/>
  <c r="I245" i="7"/>
  <c r="H245" i="7"/>
  <c r="G245" i="7"/>
  <c r="F245" i="7"/>
  <c r="I244" i="7"/>
  <c r="H244" i="7"/>
  <c r="G244" i="7"/>
  <c r="F244" i="7"/>
  <c r="I243" i="7"/>
  <c r="H243" i="7"/>
  <c r="G243" i="7"/>
  <c r="F243" i="7"/>
  <c r="I242" i="7"/>
  <c r="H242" i="7"/>
  <c r="G242" i="7"/>
  <c r="F242" i="7"/>
  <c r="I241" i="7"/>
  <c r="H241" i="7"/>
  <c r="G241" i="7"/>
  <c r="F241" i="7"/>
  <c r="I240" i="7"/>
  <c r="H240" i="7"/>
  <c r="G240" i="7"/>
  <c r="F240" i="7"/>
  <c r="I239" i="7"/>
  <c r="H239" i="7"/>
  <c r="G239" i="7"/>
  <c r="F239" i="7"/>
  <c r="I238" i="7"/>
  <c r="H238" i="7"/>
  <c r="G238" i="7"/>
  <c r="F238" i="7"/>
  <c r="I237" i="7"/>
  <c r="H237" i="7"/>
  <c r="G237" i="7"/>
  <c r="F237" i="7"/>
  <c r="I236" i="7"/>
  <c r="H236" i="7"/>
  <c r="G236" i="7"/>
  <c r="F236" i="7"/>
  <c r="I235" i="7"/>
  <c r="H235" i="7"/>
  <c r="G235" i="7"/>
  <c r="F235" i="7"/>
  <c r="I234" i="7"/>
  <c r="H234" i="7"/>
  <c r="G234" i="7"/>
  <c r="F234" i="7"/>
  <c r="I233" i="7"/>
  <c r="H233" i="7"/>
  <c r="G233" i="7"/>
  <c r="F233" i="7"/>
  <c r="I232" i="7"/>
  <c r="H232" i="7"/>
  <c r="G232" i="7"/>
  <c r="F232" i="7"/>
  <c r="I231" i="7"/>
  <c r="H231" i="7"/>
  <c r="G231" i="7"/>
  <c r="F231" i="7"/>
  <c r="I230" i="7"/>
  <c r="H230" i="7"/>
  <c r="G230" i="7"/>
  <c r="F230" i="7"/>
  <c r="I229" i="7"/>
  <c r="H229" i="7"/>
  <c r="G229" i="7"/>
  <c r="F229" i="7"/>
  <c r="I228" i="7"/>
  <c r="H228" i="7"/>
  <c r="G228" i="7"/>
  <c r="F228" i="7"/>
  <c r="I227" i="7"/>
  <c r="H227" i="7"/>
  <c r="G227" i="7"/>
  <c r="F227" i="7"/>
  <c r="I226" i="7"/>
  <c r="H226" i="7"/>
  <c r="G226" i="7"/>
  <c r="F226" i="7"/>
  <c r="I225" i="7"/>
  <c r="H225" i="7"/>
  <c r="G225" i="7"/>
  <c r="F225" i="7"/>
  <c r="I224" i="7"/>
  <c r="H224" i="7"/>
  <c r="G224" i="7"/>
  <c r="F224" i="7"/>
  <c r="I223" i="7"/>
  <c r="H223" i="7"/>
  <c r="G223" i="7"/>
  <c r="F223" i="7"/>
  <c r="I222" i="7"/>
  <c r="H222" i="7"/>
  <c r="G222" i="7"/>
  <c r="F222" i="7"/>
  <c r="I221" i="7"/>
  <c r="H221" i="7"/>
  <c r="G221" i="7"/>
  <c r="F221" i="7"/>
  <c r="I220" i="7"/>
  <c r="H220" i="7"/>
  <c r="G220" i="7"/>
  <c r="F220" i="7"/>
  <c r="I219" i="7"/>
  <c r="H219" i="7"/>
  <c r="G219" i="7"/>
  <c r="F219" i="7"/>
  <c r="I218" i="7"/>
  <c r="H218" i="7"/>
  <c r="G218" i="7"/>
  <c r="F218" i="7"/>
  <c r="I217" i="7"/>
  <c r="H217" i="7"/>
  <c r="G217" i="7"/>
  <c r="F217" i="7"/>
  <c r="I216" i="7"/>
  <c r="H216" i="7"/>
  <c r="G216" i="7"/>
  <c r="F216" i="7"/>
  <c r="I215" i="7"/>
  <c r="H215" i="7"/>
  <c r="G215" i="7"/>
  <c r="F215" i="7"/>
  <c r="I214" i="7"/>
  <c r="H214" i="7"/>
  <c r="G214" i="7"/>
  <c r="F214" i="7"/>
  <c r="I213" i="7"/>
  <c r="H213" i="7"/>
  <c r="G213" i="7"/>
  <c r="F213" i="7"/>
  <c r="I212" i="7"/>
  <c r="H212" i="7"/>
  <c r="G212" i="7"/>
  <c r="F212" i="7"/>
  <c r="I211" i="7"/>
  <c r="H211" i="7"/>
  <c r="G211" i="7"/>
  <c r="F211" i="7"/>
  <c r="I210" i="7"/>
  <c r="H210" i="7"/>
  <c r="G210" i="7"/>
  <c r="F210" i="7"/>
  <c r="I209" i="7"/>
  <c r="H209" i="7"/>
  <c r="G209" i="7"/>
  <c r="F209" i="7"/>
  <c r="I208" i="7"/>
  <c r="H208" i="7"/>
  <c r="G208" i="7"/>
  <c r="F208" i="7"/>
  <c r="I207" i="7"/>
  <c r="H207" i="7"/>
  <c r="G207" i="7"/>
  <c r="F207" i="7"/>
  <c r="I206" i="7"/>
  <c r="H206" i="7"/>
  <c r="G206" i="7"/>
  <c r="F206" i="7"/>
  <c r="I205" i="7"/>
  <c r="H205" i="7"/>
  <c r="G205" i="7"/>
  <c r="F205" i="7"/>
  <c r="I204" i="7"/>
  <c r="H204" i="7"/>
  <c r="G204" i="7"/>
  <c r="F204" i="7"/>
  <c r="I203" i="7"/>
  <c r="H203" i="7"/>
  <c r="G203" i="7"/>
  <c r="F203" i="7"/>
  <c r="I202" i="7"/>
  <c r="H202" i="7"/>
  <c r="G202" i="7"/>
  <c r="F202" i="7"/>
  <c r="I201" i="7"/>
  <c r="H201" i="7"/>
  <c r="G201" i="7"/>
  <c r="F201" i="7"/>
  <c r="I200" i="7"/>
  <c r="H200" i="7"/>
  <c r="G200" i="7"/>
  <c r="I199" i="7"/>
  <c r="H199" i="7"/>
  <c r="G199" i="7"/>
  <c r="Q226" i="7"/>
  <c r="P226" i="7"/>
  <c r="O226" i="7"/>
  <c r="N226" i="7"/>
  <c r="M226" i="7"/>
  <c r="Q225" i="7"/>
  <c r="P225" i="7"/>
  <c r="O225" i="7"/>
  <c r="N225" i="7"/>
  <c r="M225" i="7"/>
  <c r="Q224" i="7"/>
  <c r="P224" i="7"/>
  <c r="O224" i="7"/>
  <c r="N224" i="7"/>
  <c r="M224" i="7"/>
  <c r="Q223" i="7"/>
  <c r="P223" i="7"/>
  <c r="O223" i="7"/>
  <c r="N223" i="7"/>
  <c r="M223" i="7"/>
  <c r="Q222" i="7"/>
  <c r="P222" i="7"/>
  <c r="O222" i="7"/>
  <c r="N222" i="7"/>
  <c r="M222" i="7"/>
  <c r="Q221" i="7"/>
  <c r="P221" i="7"/>
  <c r="O221" i="7"/>
  <c r="N221" i="7"/>
  <c r="M221" i="7"/>
  <c r="Q220" i="7"/>
  <c r="P220" i="7"/>
  <c r="O220" i="7"/>
  <c r="N220" i="7"/>
  <c r="M220" i="7"/>
  <c r="Q219" i="7"/>
  <c r="P219" i="7"/>
  <c r="O219" i="7"/>
  <c r="N219" i="7"/>
  <c r="M219" i="7"/>
  <c r="Q218" i="7"/>
  <c r="P218" i="7"/>
  <c r="O218" i="7"/>
  <c r="N218" i="7"/>
  <c r="M218" i="7"/>
  <c r="Q217" i="7"/>
  <c r="P217" i="7"/>
  <c r="O217" i="7"/>
  <c r="N217" i="7"/>
  <c r="M217" i="7"/>
  <c r="Q216" i="7"/>
  <c r="P216" i="7"/>
  <c r="O216" i="7"/>
  <c r="N216" i="7"/>
  <c r="M216" i="7"/>
  <c r="Q215" i="7"/>
  <c r="P215" i="7"/>
  <c r="O215" i="7"/>
  <c r="N215" i="7"/>
  <c r="M215" i="7"/>
  <c r="Q214" i="7"/>
  <c r="P214" i="7"/>
  <c r="O214" i="7"/>
  <c r="N214" i="7"/>
  <c r="M214" i="7"/>
  <c r="Q213" i="7"/>
  <c r="P213" i="7"/>
  <c r="O213" i="7"/>
  <c r="N213" i="7"/>
  <c r="M213" i="7"/>
  <c r="Q212" i="7"/>
  <c r="P212" i="7"/>
  <c r="O212" i="7"/>
  <c r="N212" i="7"/>
  <c r="M212" i="7"/>
  <c r="Q211" i="7"/>
  <c r="P211" i="7"/>
  <c r="O211" i="7"/>
  <c r="N211" i="7"/>
  <c r="M211" i="7"/>
  <c r="Q210" i="7"/>
  <c r="P210" i="7"/>
  <c r="O210" i="7"/>
  <c r="N210" i="7"/>
  <c r="M210" i="7"/>
  <c r="Q209" i="7"/>
  <c r="P209" i="7"/>
  <c r="O209" i="7"/>
  <c r="N209" i="7"/>
  <c r="M209" i="7"/>
  <c r="Q208" i="7"/>
  <c r="P208" i="7"/>
  <c r="O208" i="7"/>
  <c r="N208" i="7"/>
  <c r="M208" i="7"/>
  <c r="Q207" i="7"/>
  <c r="P207" i="7"/>
  <c r="O207" i="7"/>
  <c r="N207" i="7"/>
  <c r="M207" i="7"/>
  <c r="Q206" i="7"/>
  <c r="P206" i="7"/>
  <c r="O206" i="7"/>
  <c r="N206" i="7"/>
  <c r="M206" i="7"/>
  <c r="Q205" i="7"/>
  <c r="P205" i="7"/>
  <c r="O205" i="7"/>
  <c r="N205" i="7"/>
  <c r="M205" i="7"/>
  <c r="Q204" i="7"/>
  <c r="P204" i="7"/>
  <c r="O204" i="7"/>
  <c r="N204" i="7"/>
  <c r="M204" i="7"/>
  <c r="Q203" i="7"/>
  <c r="P203" i="7"/>
  <c r="O203" i="7"/>
  <c r="N203" i="7"/>
  <c r="M203" i="7"/>
  <c r="Q202" i="7"/>
  <c r="P202" i="7"/>
  <c r="O202" i="7"/>
  <c r="N202" i="7"/>
  <c r="M202" i="7"/>
  <c r="Q201" i="7"/>
  <c r="P201" i="7"/>
  <c r="O201" i="7"/>
  <c r="N201" i="7"/>
  <c r="M201" i="7"/>
  <c r="Q200" i="7"/>
  <c r="P200" i="7"/>
  <c r="O200" i="7"/>
  <c r="N200" i="7"/>
  <c r="Q199" i="7"/>
  <c r="P199" i="7"/>
  <c r="O199" i="7"/>
  <c r="N199" i="7"/>
  <c r="Q198" i="7"/>
  <c r="P198" i="7"/>
  <c r="O198" i="7"/>
  <c r="N198" i="7"/>
  <c r="M198" i="7"/>
  <c r="Q197" i="7"/>
  <c r="P197" i="7"/>
  <c r="O197" i="7"/>
  <c r="N197" i="7"/>
  <c r="M197" i="7"/>
  <c r="Q196" i="7"/>
  <c r="P196" i="7"/>
  <c r="O196" i="7"/>
  <c r="N196" i="7"/>
  <c r="M196" i="7"/>
  <c r="Q195" i="7"/>
  <c r="P195" i="7"/>
  <c r="O195" i="7"/>
  <c r="N195" i="7"/>
  <c r="M195" i="7"/>
  <c r="Q194" i="7"/>
  <c r="P194" i="7"/>
  <c r="O194" i="7"/>
  <c r="N194" i="7"/>
  <c r="M194" i="7"/>
  <c r="Q193" i="7"/>
  <c r="P193" i="7"/>
  <c r="O193" i="7"/>
  <c r="N193" i="7"/>
  <c r="M193" i="7"/>
  <c r="Q192" i="7"/>
  <c r="P192" i="7"/>
  <c r="O192" i="7"/>
  <c r="N192" i="7"/>
  <c r="M192" i="7"/>
  <c r="Q191" i="7"/>
  <c r="P191" i="7"/>
  <c r="O191" i="7"/>
  <c r="N191" i="7"/>
  <c r="M191" i="7"/>
  <c r="Q190" i="7"/>
  <c r="P190" i="7"/>
  <c r="O190" i="7"/>
  <c r="N190" i="7"/>
  <c r="M190" i="7"/>
  <c r="Q189" i="7"/>
  <c r="P189" i="7"/>
  <c r="O189" i="7"/>
  <c r="N189" i="7"/>
  <c r="M189" i="7"/>
  <c r="Q188" i="7"/>
  <c r="P188" i="7"/>
  <c r="O188" i="7"/>
  <c r="N188" i="7"/>
  <c r="M188" i="7"/>
  <c r="Q187" i="7"/>
  <c r="P187" i="7"/>
  <c r="O187" i="7"/>
  <c r="N187" i="7"/>
  <c r="M187" i="7"/>
  <c r="Q186" i="7"/>
  <c r="P186" i="7"/>
  <c r="O186" i="7"/>
  <c r="N186" i="7"/>
  <c r="M186" i="7"/>
  <c r="Q185" i="7"/>
  <c r="P185" i="7"/>
  <c r="O185" i="7"/>
  <c r="N185" i="7"/>
  <c r="M185" i="7"/>
  <c r="Q184" i="7"/>
  <c r="P184" i="7"/>
  <c r="O184" i="7"/>
  <c r="N184" i="7"/>
  <c r="M184" i="7"/>
  <c r="Q183" i="7"/>
  <c r="P183" i="7"/>
  <c r="O183" i="7"/>
  <c r="N183" i="7"/>
  <c r="M183" i="7"/>
  <c r="Q182" i="7"/>
  <c r="P182" i="7"/>
  <c r="O182" i="7"/>
  <c r="N182" i="7"/>
  <c r="M182" i="7"/>
  <c r="Q181" i="7"/>
  <c r="P181" i="7"/>
  <c r="O181" i="7"/>
  <c r="N181" i="7"/>
  <c r="M181" i="7"/>
  <c r="Q180" i="7"/>
  <c r="P180" i="7"/>
  <c r="O180" i="7"/>
  <c r="N180" i="7"/>
  <c r="M180" i="7"/>
  <c r="Q179" i="7"/>
  <c r="P179" i="7"/>
  <c r="O179" i="7"/>
  <c r="N179" i="7"/>
  <c r="M179" i="7"/>
  <c r="Q178" i="7"/>
  <c r="P178" i="7"/>
  <c r="O178" i="7"/>
  <c r="N178" i="7"/>
  <c r="M178" i="7"/>
  <c r="Q177" i="7"/>
  <c r="P177" i="7"/>
  <c r="O177" i="7"/>
  <c r="N177" i="7"/>
  <c r="M177" i="7"/>
  <c r="Q176" i="7"/>
  <c r="P176" i="7"/>
  <c r="O176" i="7"/>
  <c r="N176" i="7"/>
  <c r="M176" i="7"/>
  <c r="Q175" i="7"/>
  <c r="P175" i="7"/>
  <c r="O175" i="7"/>
  <c r="N175" i="7"/>
  <c r="M175" i="7"/>
  <c r="Q174" i="7"/>
  <c r="P174" i="7"/>
  <c r="O174" i="7"/>
  <c r="N174" i="7"/>
  <c r="M174" i="7"/>
  <c r="Q173" i="7"/>
  <c r="P173" i="7"/>
  <c r="O173" i="7"/>
  <c r="N173" i="7"/>
  <c r="M173" i="7"/>
  <c r="Q172" i="7"/>
  <c r="P172" i="7"/>
  <c r="O172" i="7"/>
  <c r="N172" i="7"/>
  <c r="M172" i="7"/>
  <c r="Q171" i="7"/>
  <c r="P171" i="7"/>
  <c r="O171" i="7"/>
  <c r="N171" i="7"/>
  <c r="M171" i="7"/>
  <c r="Q170" i="7"/>
  <c r="P170" i="7"/>
  <c r="O170" i="7"/>
  <c r="N170" i="7"/>
  <c r="M170" i="7"/>
  <c r="Q169" i="7"/>
  <c r="P169" i="7"/>
  <c r="O169" i="7"/>
  <c r="N169" i="7"/>
  <c r="M169" i="7"/>
  <c r="Q168" i="7"/>
  <c r="P168" i="7"/>
  <c r="O168" i="7"/>
  <c r="N168" i="7"/>
  <c r="M168" i="7"/>
  <c r="Q167" i="7"/>
  <c r="P167" i="7"/>
  <c r="O167" i="7"/>
  <c r="N167" i="7"/>
  <c r="M167" i="7"/>
  <c r="Q166" i="7"/>
  <c r="P166" i="7"/>
  <c r="O166" i="7"/>
  <c r="N166" i="7"/>
  <c r="M166" i="7"/>
  <c r="Q165" i="7"/>
  <c r="P165" i="7"/>
  <c r="O165" i="7"/>
  <c r="N165" i="7"/>
  <c r="M165" i="7"/>
  <c r="Q164" i="7"/>
  <c r="P164" i="7"/>
  <c r="O164" i="7"/>
  <c r="N164" i="7"/>
  <c r="M164" i="7"/>
  <c r="Q163" i="7"/>
  <c r="P163" i="7"/>
  <c r="O163" i="7"/>
  <c r="N163" i="7"/>
  <c r="M163" i="7"/>
  <c r="Q162" i="7"/>
  <c r="P162" i="7"/>
  <c r="O162" i="7"/>
  <c r="N162" i="7"/>
  <c r="M162" i="7"/>
  <c r="Q161" i="7"/>
  <c r="P161" i="7"/>
  <c r="O161" i="7"/>
  <c r="N161" i="7"/>
  <c r="M161" i="7"/>
  <c r="Q160" i="7"/>
  <c r="P160" i="7"/>
  <c r="O160" i="7"/>
  <c r="N160" i="7"/>
  <c r="M160" i="7"/>
  <c r="Q159" i="7"/>
  <c r="P159" i="7"/>
  <c r="O159" i="7"/>
  <c r="N159" i="7"/>
  <c r="M159" i="7"/>
  <c r="Q158" i="7"/>
  <c r="P158" i="7"/>
  <c r="O158" i="7"/>
  <c r="N158" i="7"/>
  <c r="M158" i="7"/>
  <c r="Q157" i="7"/>
  <c r="P157" i="7"/>
  <c r="O157" i="7"/>
  <c r="N157" i="7"/>
  <c r="M157" i="7"/>
  <c r="Q156" i="7"/>
  <c r="P156" i="7"/>
  <c r="O156" i="7"/>
  <c r="N156" i="7"/>
  <c r="M156" i="7"/>
  <c r="Q155" i="7"/>
  <c r="P155" i="7"/>
  <c r="O155" i="7"/>
  <c r="N155" i="7"/>
  <c r="M155" i="7"/>
  <c r="Q154" i="7"/>
  <c r="P154" i="7"/>
  <c r="O154" i="7"/>
  <c r="N154" i="7"/>
  <c r="M154" i="7"/>
  <c r="Q153" i="7"/>
  <c r="P153" i="7"/>
  <c r="O153" i="7"/>
  <c r="N153" i="7"/>
  <c r="M153" i="7"/>
  <c r="Q152" i="7"/>
  <c r="P152" i="7"/>
  <c r="O152" i="7"/>
  <c r="N152" i="7"/>
  <c r="M152" i="7"/>
  <c r="Q151" i="7"/>
  <c r="P151" i="7"/>
  <c r="O151" i="7"/>
  <c r="N151" i="7"/>
  <c r="M151" i="7"/>
  <c r="Q150" i="7"/>
  <c r="P150" i="7"/>
  <c r="O150" i="7"/>
  <c r="N150" i="7"/>
  <c r="M150" i="7"/>
  <c r="Q149" i="7"/>
  <c r="P149" i="7"/>
  <c r="O149" i="7"/>
  <c r="N149" i="7"/>
  <c r="M149" i="7"/>
  <c r="Q148" i="7"/>
  <c r="P148" i="7"/>
  <c r="O148" i="7"/>
  <c r="N148" i="7"/>
  <c r="M148" i="7"/>
  <c r="Q147" i="7"/>
  <c r="P147" i="7"/>
  <c r="O147" i="7"/>
  <c r="N147" i="7"/>
  <c r="M147" i="7"/>
  <c r="Q146" i="7"/>
  <c r="P146" i="7"/>
  <c r="O146" i="7"/>
  <c r="N146" i="7"/>
  <c r="M146" i="7"/>
  <c r="Q145" i="7"/>
  <c r="P145" i="7"/>
  <c r="O145" i="7"/>
  <c r="N145" i="7"/>
  <c r="M145" i="7"/>
  <c r="Q144" i="7"/>
  <c r="P144" i="7"/>
  <c r="O144" i="7"/>
  <c r="N144" i="7"/>
  <c r="M144" i="7"/>
  <c r="Q143" i="7"/>
  <c r="P143" i="7"/>
  <c r="O143" i="7"/>
  <c r="N143" i="7"/>
  <c r="M143" i="7"/>
  <c r="Q142" i="7"/>
  <c r="P142" i="7"/>
  <c r="O142" i="7"/>
  <c r="N142" i="7"/>
  <c r="M142" i="7"/>
  <c r="Q141" i="7"/>
  <c r="P141" i="7"/>
  <c r="O141" i="7"/>
  <c r="N141" i="7"/>
  <c r="M141" i="7"/>
  <c r="Q140" i="7"/>
  <c r="P140" i="7"/>
  <c r="O140" i="7"/>
  <c r="N140" i="7"/>
  <c r="M140" i="7"/>
  <c r="Q139" i="7"/>
  <c r="P139" i="7"/>
  <c r="O139" i="7"/>
  <c r="N139" i="7"/>
  <c r="M139" i="7"/>
  <c r="Q138" i="7"/>
  <c r="P138" i="7"/>
  <c r="O138" i="7"/>
  <c r="N138" i="7"/>
  <c r="M138" i="7"/>
  <c r="Q137" i="7"/>
  <c r="P137" i="7"/>
  <c r="O137" i="7"/>
  <c r="N137" i="7"/>
  <c r="M137" i="7"/>
  <c r="Q136" i="7"/>
  <c r="P136" i="7"/>
  <c r="O136" i="7"/>
  <c r="N136" i="7"/>
  <c r="M136" i="7"/>
  <c r="Q135" i="7"/>
  <c r="P135" i="7"/>
  <c r="O135" i="7"/>
  <c r="N135" i="7"/>
  <c r="M135" i="7"/>
  <c r="Q134" i="7"/>
  <c r="P134" i="7"/>
  <c r="O134" i="7"/>
  <c r="N134" i="7"/>
  <c r="M134" i="7"/>
  <c r="Q133" i="7"/>
  <c r="P133" i="7"/>
  <c r="O133" i="7"/>
  <c r="N133" i="7"/>
  <c r="M133" i="7"/>
  <c r="Q132" i="7"/>
  <c r="P132" i="7"/>
  <c r="O132" i="7"/>
  <c r="N132" i="7"/>
  <c r="M132" i="7"/>
  <c r="Q131" i="7"/>
  <c r="P131" i="7"/>
  <c r="O131" i="7"/>
  <c r="N131" i="7"/>
  <c r="M131" i="7"/>
  <c r="Q130" i="7"/>
  <c r="P130" i="7"/>
  <c r="O130" i="7"/>
  <c r="N130" i="7"/>
  <c r="M130" i="7"/>
  <c r="Q129" i="7"/>
  <c r="P129" i="7"/>
  <c r="O129" i="7"/>
  <c r="N129" i="7"/>
  <c r="M129" i="7"/>
  <c r="Q128" i="7"/>
  <c r="P128" i="7"/>
  <c r="O128" i="7"/>
  <c r="N128" i="7"/>
  <c r="M128" i="7"/>
  <c r="Q127" i="7"/>
  <c r="P127" i="7"/>
  <c r="O127" i="7"/>
  <c r="N127" i="7"/>
  <c r="M127" i="7"/>
  <c r="Q126" i="7"/>
  <c r="P126" i="7"/>
  <c r="O126" i="7"/>
  <c r="N126" i="7"/>
  <c r="M126" i="7"/>
  <c r="Q125" i="7"/>
  <c r="P125" i="7"/>
  <c r="O125" i="7"/>
  <c r="N125" i="7"/>
  <c r="M125" i="7"/>
  <c r="Q124" i="7"/>
  <c r="P124" i="7"/>
  <c r="O124" i="7"/>
  <c r="N124" i="7"/>
  <c r="M124" i="7"/>
  <c r="Q123" i="7"/>
  <c r="P123" i="7"/>
  <c r="O123" i="7"/>
  <c r="N123" i="7"/>
  <c r="M123" i="7"/>
  <c r="Q122" i="7"/>
  <c r="P122" i="7"/>
  <c r="O122" i="7"/>
  <c r="N122" i="7"/>
  <c r="M122" i="7"/>
  <c r="Q121" i="7"/>
  <c r="P121" i="7"/>
  <c r="O121" i="7"/>
  <c r="N121" i="7"/>
  <c r="M121" i="7"/>
  <c r="Q120" i="7"/>
  <c r="P120" i="7"/>
  <c r="O120" i="7"/>
  <c r="N120" i="7"/>
  <c r="M120" i="7"/>
  <c r="Q119" i="7"/>
  <c r="P119" i="7"/>
  <c r="O119" i="7"/>
  <c r="N119" i="7"/>
  <c r="M119" i="7"/>
  <c r="Q118" i="7"/>
  <c r="P118" i="7"/>
  <c r="O118" i="7"/>
  <c r="N118" i="7"/>
  <c r="M118" i="7"/>
  <c r="Q117" i="7"/>
  <c r="P117" i="7"/>
  <c r="O117" i="7"/>
  <c r="N117" i="7"/>
  <c r="M117" i="7"/>
  <c r="Q116" i="7"/>
  <c r="P116" i="7"/>
  <c r="O116" i="7"/>
  <c r="N116" i="7"/>
  <c r="M116" i="7"/>
  <c r="Q115" i="7"/>
  <c r="P115" i="7"/>
  <c r="O115" i="7"/>
  <c r="N115" i="7"/>
  <c r="M115" i="7"/>
  <c r="Q114" i="7"/>
  <c r="P114" i="7"/>
  <c r="O114" i="7"/>
  <c r="N114" i="7"/>
  <c r="M114" i="7"/>
  <c r="Q113" i="7"/>
  <c r="P113" i="7"/>
  <c r="O113" i="7"/>
  <c r="N113" i="7"/>
  <c r="M113" i="7"/>
  <c r="Q112" i="7"/>
  <c r="P112" i="7"/>
  <c r="O112" i="7"/>
  <c r="N112" i="7"/>
  <c r="M112" i="7"/>
  <c r="Q111" i="7"/>
  <c r="P111" i="7"/>
  <c r="O111" i="7"/>
  <c r="N111" i="7"/>
  <c r="M111" i="7"/>
  <c r="Q110" i="7"/>
  <c r="P110" i="7"/>
  <c r="O110" i="7"/>
  <c r="N110" i="7"/>
  <c r="M110" i="7"/>
  <c r="Q109" i="7"/>
  <c r="P109" i="7"/>
  <c r="O109" i="7"/>
  <c r="N109" i="7"/>
  <c r="M109" i="7"/>
  <c r="Q108" i="7"/>
  <c r="P108" i="7"/>
  <c r="O108" i="7"/>
  <c r="N108" i="7"/>
  <c r="M108" i="7"/>
  <c r="Q107" i="7"/>
  <c r="P107" i="7"/>
  <c r="O107" i="7"/>
  <c r="N107" i="7"/>
  <c r="M107" i="7"/>
  <c r="Q106" i="7"/>
  <c r="P106" i="7"/>
  <c r="O106" i="7"/>
  <c r="N106" i="7"/>
  <c r="M106" i="7"/>
  <c r="Q105" i="7"/>
  <c r="P105" i="7"/>
  <c r="O105" i="7"/>
  <c r="N105" i="7"/>
  <c r="M105" i="7"/>
  <c r="Q104" i="7"/>
  <c r="P104" i="7"/>
  <c r="O104" i="7"/>
  <c r="N104" i="7"/>
  <c r="M104" i="7"/>
  <c r="Q103" i="7"/>
  <c r="P103" i="7"/>
  <c r="O103" i="7"/>
  <c r="N103" i="7"/>
  <c r="M103" i="7"/>
  <c r="Q102" i="7"/>
  <c r="P102" i="7"/>
  <c r="O102" i="7"/>
  <c r="N102" i="7"/>
  <c r="M102" i="7"/>
  <c r="Q101" i="7"/>
  <c r="P101" i="7"/>
  <c r="O101" i="7"/>
  <c r="N101" i="7"/>
  <c r="M101" i="7"/>
  <c r="Q100" i="7"/>
  <c r="P100" i="7"/>
  <c r="O100" i="7"/>
  <c r="N100" i="7"/>
  <c r="M100" i="7"/>
  <c r="Q99" i="7"/>
  <c r="P99" i="7"/>
  <c r="O99" i="7"/>
  <c r="N99" i="7"/>
  <c r="M99" i="7"/>
  <c r="Q98" i="7"/>
  <c r="P98" i="7"/>
  <c r="O98" i="7"/>
  <c r="N98" i="7"/>
  <c r="M98" i="7"/>
  <c r="Q97" i="7"/>
  <c r="P97" i="7"/>
  <c r="O97" i="7"/>
  <c r="N97" i="7"/>
  <c r="M97" i="7"/>
  <c r="Q96" i="7"/>
  <c r="P96" i="7"/>
  <c r="O96" i="7"/>
  <c r="N96" i="7"/>
  <c r="M96" i="7"/>
  <c r="Q95" i="7"/>
  <c r="P95" i="7"/>
  <c r="O95" i="7"/>
  <c r="N95" i="7"/>
  <c r="M95" i="7"/>
  <c r="Q94" i="7"/>
  <c r="P94" i="7"/>
  <c r="O94" i="7"/>
  <c r="N94" i="7"/>
  <c r="M94" i="7"/>
  <c r="Q93" i="7"/>
  <c r="P93" i="7"/>
  <c r="O93" i="7"/>
  <c r="N93" i="7"/>
  <c r="M93" i="7"/>
  <c r="Q92" i="7"/>
  <c r="P92" i="7"/>
  <c r="O92" i="7"/>
  <c r="N92" i="7"/>
  <c r="M92" i="7"/>
  <c r="Q91" i="7"/>
  <c r="P91" i="7"/>
  <c r="O91" i="7"/>
  <c r="N91" i="7"/>
  <c r="M91" i="7"/>
  <c r="Q90" i="7"/>
  <c r="P90" i="7"/>
  <c r="O90" i="7"/>
  <c r="N90" i="7"/>
  <c r="M90" i="7"/>
  <c r="Q89" i="7"/>
  <c r="P89" i="7"/>
  <c r="O89" i="7"/>
  <c r="N89" i="7"/>
  <c r="M89" i="7"/>
  <c r="Q88" i="7"/>
  <c r="P88" i="7"/>
  <c r="O88" i="7"/>
  <c r="N88" i="7"/>
  <c r="M88" i="7"/>
  <c r="Q87" i="7"/>
  <c r="P87" i="7"/>
  <c r="O87" i="7"/>
  <c r="N87" i="7"/>
  <c r="M87" i="7"/>
  <c r="Q86" i="7"/>
  <c r="P86" i="7"/>
  <c r="O86" i="7"/>
  <c r="N86" i="7"/>
  <c r="M86" i="7"/>
  <c r="Q85" i="7"/>
  <c r="P85" i="7"/>
  <c r="O85" i="7"/>
  <c r="N85" i="7"/>
  <c r="M85" i="7"/>
  <c r="Q84" i="7"/>
  <c r="P84" i="7"/>
  <c r="O84" i="7"/>
  <c r="N84" i="7"/>
  <c r="M84" i="7"/>
  <c r="Q83" i="7"/>
  <c r="P83" i="7"/>
  <c r="O83" i="7"/>
  <c r="N83" i="7"/>
  <c r="M83" i="7"/>
  <c r="Q82" i="7"/>
  <c r="P82" i="7"/>
  <c r="O82" i="7"/>
  <c r="N82" i="7"/>
  <c r="M82" i="7"/>
  <c r="Q81" i="7"/>
  <c r="P81" i="7"/>
  <c r="O81" i="7"/>
  <c r="N81" i="7"/>
  <c r="M81" i="7"/>
  <c r="Q80" i="7"/>
  <c r="P80" i="7"/>
  <c r="O80" i="7"/>
  <c r="N80" i="7"/>
  <c r="M80" i="7"/>
  <c r="Q79" i="7"/>
  <c r="P79" i="7"/>
  <c r="O79" i="7"/>
  <c r="N79" i="7"/>
  <c r="M79" i="7"/>
  <c r="Q78" i="7"/>
  <c r="P78" i="7"/>
  <c r="O78" i="7"/>
  <c r="N78" i="7"/>
  <c r="M78" i="7"/>
  <c r="Q77" i="7"/>
  <c r="P77" i="7"/>
  <c r="O77" i="7"/>
  <c r="N77" i="7"/>
  <c r="M77" i="7"/>
  <c r="Q76" i="7"/>
  <c r="P76" i="7"/>
  <c r="O76" i="7"/>
  <c r="N76" i="7"/>
  <c r="M76" i="7"/>
  <c r="Q75" i="7"/>
  <c r="P75" i="7"/>
  <c r="O75" i="7"/>
  <c r="N75" i="7"/>
  <c r="M75" i="7"/>
  <c r="Q74" i="7"/>
  <c r="P74" i="7"/>
  <c r="O74" i="7"/>
  <c r="N74" i="7"/>
  <c r="M74" i="7"/>
  <c r="Q73" i="7"/>
  <c r="P73" i="7"/>
  <c r="O73" i="7"/>
  <c r="N73" i="7"/>
  <c r="M73" i="7"/>
  <c r="Q72" i="7"/>
  <c r="P72" i="7"/>
  <c r="O72" i="7"/>
  <c r="N72" i="7"/>
  <c r="M72" i="7"/>
  <c r="Q71" i="7"/>
  <c r="P71" i="7"/>
  <c r="O71" i="7"/>
  <c r="N71" i="7"/>
  <c r="M71" i="7"/>
  <c r="Q70" i="7"/>
  <c r="P70" i="7"/>
  <c r="O70" i="7"/>
  <c r="N70" i="7"/>
  <c r="M70" i="7"/>
  <c r="Q69" i="7"/>
  <c r="P69" i="7"/>
  <c r="O69" i="7"/>
  <c r="N69" i="7"/>
  <c r="M69" i="7"/>
  <c r="Q68" i="7"/>
  <c r="P68" i="7"/>
  <c r="O68" i="7"/>
  <c r="N68" i="7"/>
  <c r="M68" i="7"/>
  <c r="Q67" i="7"/>
  <c r="P67" i="7"/>
  <c r="O67" i="7"/>
  <c r="N67" i="7"/>
  <c r="M67" i="7"/>
  <c r="Q66" i="7"/>
  <c r="P66" i="7"/>
  <c r="O66" i="7"/>
  <c r="N66" i="7"/>
  <c r="M66" i="7"/>
  <c r="Q65" i="7"/>
  <c r="P65" i="7"/>
  <c r="O65" i="7"/>
  <c r="N65" i="7"/>
  <c r="M65" i="7"/>
  <c r="Q64" i="7"/>
  <c r="P64" i="7"/>
  <c r="O64" i="7"/>
  <c r="N64" i="7"/>
  <c r="M64" i="7"/>
  <c r="Q63" i="7"/>
  <c r="P63" i="7"/>
  <c r="O63" i="7"/>
  <c r="N63" i="7"/>
  <c r="M63" i="7"/>
  <c r="Q62" i="7"/>
  <c r="P62" i="7"/>
  <c r="O62" i="7"/>
  <c r="N62" i="7"/>
  <c r="M62" i="7"/>
  <c r="Q61" i="7"/>
  <c r="P61" i="7"/>
  <c r="O61" i="7"/>
  <c r="N61" i="7"/>
  <c r="M61" i="7"/>
  <c r="Q60" i="7"/>
  <c r="P60" i="7"/>
  <c r="O60" i="7"/>
  <c r="N60" i="7"/>
  <c r="M60" i="7"/>
  <c r="Q59" i="7"/>
  <c r="P59" i="7"/>
  <c r="O59" i="7"/>
  <c r="N59" i="7"/>
  <c r="M59" i="7"/>
  <c r="Q58" i="7"/>
  <c r="P58" i="7"/>
  <c r="O58" i="7"/>
  <c r="N58" i="7"/>
  <c r="M58" i="7"/>
  <c r="Q57" i="7"/>
  <c r="P57" i="7"/>
  <c r="O57" i="7"/>
  <c r="N57" i="7"/>
  <c r="M57" i="7"/>
  <c r="Q56" i="7"/>
  <c r="P56" i="7"/>
  <c r="O56" i="7"/>
  <c r="N56" i="7"/>
  <c r="M56" i="7"/>
  <c r="Q55" i="7"/>
  <c r="P55" i="7"/>
  <c r="O55" i="7"/>
  <c r="N55" i="7"/>
  <c r="M55" i="7"/>
  <c r="Q54" i="7"/>
  <c r="P54" i="7"/>
  <c r="O54" i="7"/>
  <c r="N54" i="7"/>
  <c r="M54" i="7"/>
  <c r="Q53" i="7"/>
  <c r="P53" i="7"/>
  <c r="O53" i="7"/>
  <c r="N53" i="7"/>
  <c r="M53" i="7"/>
  <c r="Q52" i="7"/>
  <c r="P52" i="7"/>
  <c r="O52" i="7"/>
  <c r="N52" i="7"/>
  <c r="M52" i="7"/>
  <c r="Q51" i="7"/>
  <c r="P51" i="7"/>
  <c r="O51" i="7"/>
  <c r="N51" i="7"/>
  <c r="M51" i="7"/>
  <c r="Q50" i="7"/>
  <c r="P50" i="7"/>
  <c r="O50" i="7"/>
  <c r="N50" i="7"/>
  <c r="M50" i="7"/>
  <c r="Q49" i="7"/>
  <c r="P49" i="7"/>
  <c r="O49" i="7"/>
  <c r="N49" i="7"/>
  <c r="M49" i="7"/>
  <c r="Q48" i="7"/>
  <c r="P48" i="7"/>
  <c r="O48" i="7"/>
  <c r="N48" i="7"/>
  <c r="M48" i="7"/>
  <c r="Q47" i="7"/>
  <c r="P47" i="7"/>
  <c r="O47" i="7"/>
  <c r="N47" i="7"/>
  <c r="M47" i="7"/>
  <c r="Q46" i="7"/>
  <c r="P46" i="7"/>
  <c r="O46" i="7"/>
  <c r="N46" i="7"/>
  <c r="M46" i="7"/>
  <c r="Q45" i="7"/>
  <c r="P45" i="7"/>
  <c r="O45" i="7"/>
  <c r="N45" i="7"/>
  <c r="M45" i="7"/>
  <c r="Q44" i="7"/>
  <c r="P44" i="7"/>
  <c r="O44" i="7"/>
  <c r="N44" i="7"/>
  <c r="M44" i="7"/>
  <c r="Q43" i="7"/>
  <c r="P43" i="7"/>
  <c r="O43" i="7"/>
  <c r="N43" i="7"/>
  <c r="M43" i="7"/>
  <c r="Q42" i="7"/>
  <c r="P42" i="7"/>
  <c r="O42" i="7"/>
  <c r="N42" i="7"/>
  <c r="M42" i="7"/>
  <c r="Q41" i="7"/>
  <c r="P41" i="7"/>
  <c r="O41" i="7"/>
  <c r="N41" i="7"/>
  <c r="M41" i="7"/>
  <c r="Q40" i="7"/>
  <c r="P40" i="7"/>
  <c r="O40" i="7"/>
  <c r="N40" i="7"/>
  <c r="M40" i="7"/>
  <c r="Q39" i="7"/>
  <c r="P39" i="7"/>
  <c r="O39" i="7"/>
  <c r="N39" i="7"/>
  <c r="M39" i="7"/>
  <c r="Q38" i="7"/>
  <c r="P38" i="7"/>
  <c r="O38" i="7"/>
  <c r="N38" i="7"/>
  <c r="M38" i="7"/>
  <c r="Q37" i="7"/>
  <c r="P37" i="7"/>
  <c r="O37" i="7"/>
  <c r="N37" i="7"/>
  <c r="M37" i="7"/>
  <c r="Q36" i="7"/>
  <c r="P36" i="7"/>
  <c r="O36" i="7"/>
  <c r="N36" i="7"/>
  <c r="M36" i="7"/>
  <c r="Q35" i="7"/>
  <c r="P35" i="7"/>
  <c r="O35" i="7"/>
  <c r="N35" i="7"/>
  <c r="M35" i="7"/>
  <c r="Q34" i="7"/>
  <c r="P34" i="7"/>
  <c r="O34" i="7"/>
  <c r="N34" i="7"/>
  <c r="M34" i="7"/>
  <c r="Q33" i="7"/>
  <c r="P33" i="7"/>
  <c r="O33" i="7"/>
  <c r="N33" i="7"/>
  <c r="M33" i="7"/>
  <c r="Q32" i="7"/>
  <c r="P32" i="7"/>
  <c r="O32" i="7"/>
  <c r="N32" i="7"/>
  <c r="M32" i="7"/>
  <c r="Q31" i="7"/>
  <c r="P31" i="7"/>
  <c r="O31" i="7"/>
  <c r="N31" i="7"/>
  <c r="M31" i="7"/>
  <c r="Q30" i="7"/>
  <c r="P30" i="7"/>
  <c r="O30" i="7"/>
  <c r="N30" i="7"/>
  <c r="M30" i="7"/>
  <c r="Q29" i="7"/>
  <c r="P29" i="7"/>
  <c r="O29" i="7"/>
  <c r="N29" i="7"/>
  <c r="M29" i="7"/>
  <c r="Q28" i="7"/>
  <c r="P28" i="7"/>
  <c r="O28" i="7"/>
  <c r="N28" i="7"/>
  <c r="M28" i="7"/>
  <c r="Q27" i="7"/>
  <c r="P27" i="7"/>
  <c r="O27" i="7"/>
  <c r="N27" i="7"/>
  <c r="M27" i="7"/>
  <c r="Q26" i="7"/>
  <c r="P26" i="7"/>
  <c r="O26" i="7"/>
  <c r="N26" i="7"/>
  <c r="M26" i="7"/>
  <c r="Q25" i="7"/>
  <c r="P25" i="7"/>
  <c r="O25" i="7"/>
  <c r="N25" i="7"/>
  <c r="M25" i="7"/>
  <c r="Q24" i="7"/>
  <c r="P24" i="7"/>
  <c r="O24" i="7"/>
  <c r="N24" i="7"/>
  <c r="M24" i="7"/>
  <c r="Q23" i="7"/>
  <c r="P23" i="7"/>
  <c r="O23" i="7"/>
  <c r="N23" i="7"/>
  <c r="M23" i="7"/>
  <c r="Q22" i="7"/>
  <c r="P22" i="7"/>
  <c r="O22" i="7"/>
  <c r="N22" i="7"/>
  <c r="M22" i="7"/>
  <c r="Q21" i="7"/>
  <c r="P21" i="7"/>
  <c r="O21" i="7"/>
  <c r="N21" i="7"/>
  <c r="M21" i="7"/>
  <c r="Q20" i="7"/>
  <c r="P20" i="7"/>
  <c r="O20" i="7"/>
  <c r="N20" i="7"/>
  <c r="M20" i="7"/>
  <c r="Q19" i="7"/>
  <c r="P19" i="7"/>
  <c r="O19" i="7"/>
  <c r="N19" i="7"/>
  <c r="M19" i="7"/>
  <c r="Q18" i="7"/>
  <c r="P18" i="7"/>
  <c r="O18" i="7"/>
  <c r="N18" i="7"/>
  <c r="M18" i="7"/>
  <c r="Q17" i="7"/>
  <c r="P17" i="7"/>
  <c r="O17" i="7"/>
  <c r="N17" i="7"/>
  <c r="M17" i="7"/>
  <c r="Q16" i="7"/>
  <c r="P16" i="7"/>
  <c r="O16" i="7"/>
  <c r="N16" i="7"/>
  <c r="M16" i="7"/>
  <c r="Q15" i="7"/>
  <c r="P15" i="7"/>
  <c r="O15" i="7"/>
  <c r="N15" i="7"/>
  <c r="I167" i="7"/>
  <c r="H167" i="7"/>
  <c r="G167" i="7"/>
  <c r="F167" i="7"/>
  <c r="I166" i="7"/>
  <c r="H166" i="7"/>
  <c r="G166" i="7"/>
  <c r="F166" i="7"/>
  <c r="I165" i="7"/>
  <c r="H165" i="7"/>
  <c r="G165" i="7"/>
  <c r="F165" i="7"/>
  <c r="I164" i="7"/>
  <c r="H164" i="7"/>
  <c r="G164" i="7"/>
  <c r="F164" i="7"/>
  <c r="I163" i="7"/>
  <c r="H163" i="7"/>
  <c r="G163" i="7"/>
  <c r="F163" i="7"/>
  <c r="I162" i="7"/>
  <c r="H162" i="7"/>
  <c r="G162" i="7"/>
  <c r="F162" i="7"/>
  <c r="I161" i="7"/>
  <c r="H161" i="7"/>
  <c r="G161" i="7"/>
  <c r="F161" i="7"/>
  <c r="I160" i="7"/>
  <c r="H160" i="7"/>
  <c r="G160" i="7"/>
  <c r="F160" i="7"/>
  <c r="I159" i="7"/>
  <c r="H159" i="7"/>
  <c r="G159" i="7"/>
  <c r="F159" i="7"/>
  <c r="I158" i="7"/>
  <c r="H158" i="7"/>
  <c r="G158" i="7"/>
  <c r="F158" i="7"/>
  <c r="I157" i="7"/>
  <c r="H157" i="7"/>
  <c r="G157" i="7"/>
  <c r="F157" i="7"/>
  <c r="I156" i="7"/>
  <c r="H156" i="7"/>
  <c r="G156" i="7"/>
  <c r="F156" i="7"/>
  <c r="I155" i="7"/>
  <c r="H155" i="7"/>
  <c r="G155" i="7"/>
  <c r="F155" i="7"/>
  <c r="I154" i="7"/>
  <c r="H154" i="7"/>
  <c r="G154" i="7"/>
  <c r="F154" i="7"/>
  <c r="I153" i="7"/>
  <c r="H153" i="7"/>
  <c r="G153" i="7"/>
  <c r="F153" i="7"/>
  <c r="I152" i="7"/>
  <c r="H152" i="7"/>
  <c r="G152" i="7"/>
  <c r="F152" i="7"/>
  <c r="I151" i="7"/>
  <c r="H151" i="7"/>
  <c r="G151" i="7"/>
  <c r="F151" i="7"/>
  <c r="I150" i="7"/>
  <c r="H150" i="7"/>
  <c r="G150" i="7"/>
  <c r="F150" i="7"/>
  <c r="I149" i="7"/>
  <c r="H149" i="7"/>
  <c r="G149" i="7"/>
  <c r="F149" i="7"/>
  <c r="I148" i="7"/>
  <c r="H148" i="7"/>
  <c r="G148" i="7"/>
  <c r="F148" i="7"/>
  <c r="I147" i="7"/>
  <c r="H147" i="7"/>
  <c r="G147" i="7"/>
  <c r="F147" i="7"/>
  <c r="I146" i="7"/>
  <c r="H146" i="7"/>
  <c r="G146" i="7"/>
  <c r="F146" i="7"/>
  <c r="I145" i="7"/>
  <c r="H145" i="7"/>
  <c r="G145" i="7"/>
  <c r="F145" i="7"/>
  <c r="I144" i="7"/>
  <c r="H144" i="7"/>
  <c r="G144" i="7"/>
  <c r="F144" i="7"/>
  <c r="I143" i="7"/>
  <c r="H143" i="7"/>
  <c r="G143" i="7"/>
  <c r="F143" i="7"/>
  <c r="I142" i="7"/>
  <c r="H142" i="7"/>
  <c r="G142" i="7"/>
  <c r="F142" i="7"/>
  <c r="I141" i="7"/>
  <c r="H141" i="7"/>
  <c r="G141" i="7"/>
  <c r="F141" i="7"/>
  <c r="I140" i="7"/>
  <c r="H140" i="7"/>
  <c r="G140" i="7"/>
  <c r="F140" i="7"/>
  <c r="I139" i="7"/>
  <c r="H139" i="7"/>
  <c r="G139" i="7"/>
  <c r="F139" i="7"/>
  <c r="I138" i="7"/>
  <c r="H138" i="7"/>
  <c r="G138" i="7"/>
  <c r="F138" i="7"/>
  <c r="I137" i="7"/>
  <c r="H137" i="7"/>
  <c r="G137" i="7"/>
  <c r="F137" i="7"/>
  <c r="I136" i="7"/>
  <c r="H136" i="7"/>
  <c r="G136" i="7"/>
  <c r="F136" i="7"/>
  <c r="I135" i="7"/>
  <c r="H135" i="7"/>
  <c r="G135" i="7"/>
  <c r="F135" i="7"/>
  <c r="I134" i="7"/>
  <c r="H134" i="7"/>
  <c r="G134" i="7"/>
  <c r="F134" i="7"/>
  <c r="I133" i="7"/>
  <c r="H133" i="7"/>
  <c r="G133" i="7"/>
  <c r="F133" i="7"/>
  <c r="I132" i="7"/>
  <c r="H132" i="7"/>
  <c r="G132" i="7"/>
  <c r="F132" i="7"/>
  <c r="I131" i="7"/>
  <c r="H131" i="7"/>
  <c r="G131" i="7"/>
  <c r="F131" i="7"/>
  <c r="I130" i="7"/>
  <c r="H130" i="7"/>
  <c r="G130" i="7"/>
  <c r="F130" i="7"/>
  <c r="I129" i="7"/>
  <c r="H129" i="7"/>
  <c r="G129" i="7"/>
  <c r="F129" i="7"/>
  <c r="I128" i="7"/>
  <c r="H128" i="7"/>
  <c r="G128" i="7"/>
  <c r="F128" i="7"/>
  <c r="I127" i="7"/>
  <c r="H127" i="7"/>
  <c r="G127" i="7"/>
  <c r="F127" i="7"/>
  <c r="I126" i="7"/>
  <c r="H126" i="7"/>
  <c r="G126" i="7"/>
  <c r="F126" i="7"/>
  <c r="I125" i="7"/>
  <c r="H125" i="7"/>
  <c r="G125" i="7"/>
  <c r="F125" i="7"/>
  <c r="I124" i="7"/>
  <c r="H124" i="7"/>
  <c r="G124" i="7"/>
  <c r="F124" i="7"/>
  <c r="I123" i="7"/>
  <c r="H123" i="7"/>
  <c r="G123" i="7"/>
  <c r="F123" i="7"/>
  <c r="I122" i="7"/>
  <c r="H122" i="7"/>
  <c r="G122" i="7"/>
  <c r="F122" i="7"/>
  <c r="I121" i="7"/>
  <c r="H121" i="7"/>
  <c r="G121" i="7"/>
  <c r="F121" i="7"/>
  <c r="I120" i="7"/>
  <c r="H120" i="7"/>
  <c r="G120" i="7"/>
  <c r="F120" i="7"/>
  <c r="I119" i="7"/>
  <c r="H119" i="7"/>
  <c r="G119" i="7"/>
  <c r="F119" i="7"/>
  <c r="I118" i="7"/>
  <c r="H118" i="7"/>
  <c r="G118" i="7"/>
  <c r="F118" i="7"/>
  <c r="I117" i="7"/>
  <c r="H117" i="7"/>
  <c r="G117" i="7"/>
  <c r="F117" i="7"/>
  <c r="I116" i="7"/>
  <c r="H116" i="7"/>
  <c r="G116" i="7"/>
  <c r="F116" i="7"/>
  <c r="I115" i="7"/>
  <c r="H115" i="7"/>
  <c r="G115" i="7"/>
  <c r="F115" i="7"/>
  <c r="I114" i="7"/>
  <c r="H114" i="7"/>
  <c r="G114" i="7"/>
  <c r="F114" i="7"/>
  <c r="I113" i="7"/>
  <c r="H113" i="7"/>
  <c r="G113" i="7"/>
  <c r="F113" i="7"/>
  <c r="I112" i="7"/>
  <c r="H112" i="7"/>
  <c r="G112" i="7"/>
  <c r="F112" i="7"/>
  <c r="I111" i="7"/>
  <c r="H111" i="7"/>
  <c r="G111" i="7"/>
  <c r="F111" i="7"/>
  <c r="I110" i="7"/>
  <c r="H110" i="7"/>
  <c r="G110" i="7"/>
  <c r="F110" i="7"/>
  <c r="I109" i="7"/>
  <c r="H109" i="7"/>
  <c r="G109" i="7"/>
  <c r="F109" i="7"/>
  <c r="I108" i="7"/>
  <c r="H108" i="7"/>
  <c r="G108" i="7"/>
  <c r="F108" i="7"/>
  <c r="I107" i="7"/>
  <c r="H107" i="7"/>
  <c r="G107" i="7"/>
  <c r="F107" i="7"/>
  <c r="I106" i="7"/>
  <c r="H106" i="7"/>
  <c r="G106" i="7"/>
  <c r="F106" i="7"/>
  <c r="I105" i="7"/>
  <c r="H105" i="7"/>
  <c r="G105" i="7"/>
  <c r="F105" i="7"/>
  <c r="I104" i="7"/>
  <c r="H104" i="7"/>
  <c r="G104" i="7"/>
  <c r="F104" i="7"/>
  <c r="I103" i="7"/>
  <c r="H103" i="7"/>
  <c r="G103" i="7"/>
  <c r="F103" i="7"/>
  <c r="I102" i="7"/>
  <c r="H102" i="7"/>
  <c r="G102" i="7"/>
  <c r="F102" i="7"/>
  <c r="I101" i="7"/>
  <c r="H101" i="7"/>
  <c r="G101" i="7"/>
  <c r="F101" i="7"/>
  <c r="I100" i="7"/>
  <c r="H100" i="7"/>
  <c r="G100" i="7"/>
  <c r="F100" i="7"/>
  <c r="I99" i="7"/>
  <c r="H99" i="7"/>
  <c r="G99" i="7"/>
  <c r="F99" i="7"/>
  <c r="I98" i="7"/>
  <c r="H98" i="7"/>
  <c r="G98" i="7"/>
  <c r="F98" i="7"/>
  <c r="I97" i="7"/>
  <c r="H97" i="7"/>
  <c r="G97" i="7"/>
  <c r="F97" i="7"/>
  <c r="I96" i="7"/>
  <c r="H96" i="7"/>
  <c r="G96" i="7"/>
  <c r="F96" i="7"/>
  <c r="I95" i="7"/>
  <c r="H95" i="7"/>
  <c r="G95" i="7"/>
  <c r="F95" i="7"/>
  <c r="I94" i="7"/>
  <c r="H94" i="7"/>
  <c r="G94" i="7"/>
  <c r="F94" i="7"/>
  <c r="I93" i="7"/>
  <c r="H93" i="7"/>
  <c r="G93" i="7"/>
  <c r="F93" i="7"/>
  <c r="I92" i="7"/>
  <c r="H92" i="7"/>
  <c r="G92" i="7"/>
  <c r="F92" i="7"/>
  <c r="I91" i="7"/>
  <c r="H91" i="7"/>
  <c r="G91" i="7"/>
  <c r="F91" i="7"/>
  <c r="I90" i="7"/>
  <c r="H90" i="7"/>
  <c r="G90" i="7"/>
  <c r="F90" i="7"/>
  <c r="I89" i="7"/>
  <c r="H89" i="7"/>
  <c r="G89" i="7"/>
  <c r="F89" i="7"/>
  <c r="I88" i="7"/>
  <c r="H88" i="7"/>
  <c r="G88" i="7"/>
  <c r="F88" i="7"/>
  <c r="I87" i="7"/>
  <c r="H87" i="7"/>
  <c r="G87" i="7"/>
  <c r="F87" i="7"/>
  <c r="I86" i="7"/>
  <c r="H86" i="7"/>
  <c r="G86" i="7"/>
  <c r="F86" i="7"/>
  <c r="I85" i="7"/>
  <c r="H85" i="7"/>
  <c r="G85" i="7"/>
  <c r="F85" i="7"/>
  <c r="I84" i="7"/>
  <c r="H84" i="7"/>
  <c r="G84" i="7"/>
  <c r="F84" i="7"/>
  <c r="I83" i="7"/>
  <c r="H83" i="7"/>
  <c r="G83" i="7"/>
  <c r="F83" i="7"/>
  <c r="I82" i="7"/>
  <c r="H82" i="7"/>
  <c r="G82" i="7"/>
  <c r="F82" i="7"/>
  <c r="I81" i="7"/>
  <c r="H81" i="7"/>
  <c r="G81" i="7"/>
  <c r="F81" i="7"/>
  <c r="I80" i="7"/>
  <c r="H80" i="7"/>
  <c r="G80" i="7"/>
  <c r="F80" i="7"/>
  <c r="I79" i="7"/>
  <c r="H79" i="7"/>
  <c r="G79" i="7"/>
  <c r="F79" i="7"/>
  <c r="I78" i="7"/>
  <c r="H78" i="7"/>
  <c r="G78" i="7"/>
  <c r="F78" i="7"/>
  <c r="I77" i="7"/>
  <c r="H77" i="7"/>
  <c r="G77" i="7"/>
  <c r="F77" i="7"/>
  <c r="I76" i="7"/>
  <c r="H76" i="7"/>
  <c r="G76" i="7"/>
  <c r="F76" i="7"/>
  <c r="I75" i="7"/>
  <c r="H75" i="7"/>
  <c r="G75" i="7"/>
  <c r="F75" i="7"/>
  <c r="I74" i="7"/>
  <c r="H74" i="7"/>
  <c r="G74" i="7"/>
  <c r="F74" i="7"/>
  <c r="I73" i="7"/>
  <c r="H73" i="7"/>
  <c r="G73" i="7"/>
  <c r="F73" i="7"/>
  <c r="I72" i="7"/>
  <c r="H72" i="7"/>
  <c r="G72" i="7"/>
  <c r="F72" i="7"/>
  <c r="I71" i="7"/>
  <c r="H71" i="7"/>
  <c r="G71" i="7"/>
  <c r="F71" i="7"/>
  <c r="I70" i="7"/>
  <c r="H70" i="7"/>
  <c r="G70" i="7"/>
  <c r="F70" i="7"/>
  <c r="I69" i="7"/>
  <c r="H69" i="7"/>
  <c r="G69" i="7"/>
  <c r="F69" i="7"/>
  <c r="I68" i="7"/>
  <c r="H68" i="7"/>
  <c r="G68" i="7"/>
  <c r="F68" i="7"/>
  <c r="I67" i="7"/>
  <c r="H67" i="7"/>
  <c r="G67" i="7"/>
  <c r="F67" i="7"/>
  <c r="I66" i="7"/>
  <c r="H66" i="7"/>
  <c r="G66" i="7"/>
  <c r="F66" i="7"/>
  <c r="I65" i="7"/>
  <c r="H65" i="7"/>
  <c r="G65" i="7"/>
  <c r="F65" i="7"/>
  <c r="I64" i="7"/>
  <c r="H64" i="7"/>
  <c r="G64" i="7"/>
  <c r="F64" i="7"/>
  <c r="I63" i="7"/>
  <c r="H63" i="7"/>
  <c r="G63" i="7"/>
  <c r="F63" i="7"/>
  <c r="I62" i="7"/>
  <c r="H62" i="7"/>
  <c r="G62" i="7"/>
  <c r="F62" i="7"/>
  <c r="I61" i="7"/>
  <c r="H61" i="7"/>
  <c r="G61" i="7"/>
  <c r="F61" i="7"/>
  <c r="I60" i="7"/>
  <c r="H60" i="7"/>
  <c r="G60" i="7"/>
  <c r="F60" i="7"/>
  <c r="I59" i="7"/>
  <c r="H59" i="7"/>
  <c r="G59" i="7"/>
  <c r="F59" i="7"/>
  <c r="I58" i="7"/>
  <c r="H58" i="7"/>
  <c r="G58" i="7"/>
  <c r="F58" i="7"/>
  <c r="I57" i="7"/>
  <c r="H57" i="7"/>
  <c r="G57" i="7"/>
  <c r="F57" i="7"/>
  <c r="I56" i="7"/>
  <c r="H56" i="7"/>
  <c r="G56" i="7"/>
  <c r="F56" i="7"/>
  <c r="I55" i="7"/>
  <c r="H55" i="7"/>
  <c r="G55" i="7"/>
  <c r="F55" i="7"/>
  <c r="I54" i="7"/>
  <c r="H54" i="7"/>
  <c r="G54" i="7"/>
  <c r="F54" i="7"/>
  <c r="I53" i="7"/>
  <c r="H53" i="7"/>
  <c r="G53" i="7"/>
  <c r="F53" i="7"/>
  <c r="I52" i="7"/>
  <c r="H52" i="7"/>
  <c r="G52" i="7"/>
  <c r="F52" i="7"/>
  <c r="I51" i="7"/>
  <c r="H51" i="7"/>
  <c r="G51" i="7"/>
  <c r="F51" i="7"/>
  <c r="I50" i="7"/>
  <c r="H50" i="7"/>
  <c r="G50" i="7"/>
  <c r="F50" i="7"/>
  <c r="I49" i="7"/>
  <c r="H49" i="7"/>
  <c r="G49" i="7"/>
  <c r="F49" i="7"/>
  <c r="I48" i="7"/>
  <c r="H48" i="7"/>
  <c r="G48" i="7"/>
  <c r="F48" i="7"/>
  <c r="I47" i="7"/>
  <c r="H47" i="7"/>
  <c r="G47" i="7"/>
  <c r="F47" i="7"/>
  <c r="I46" i="7"/>
  <c r="H46" i="7"/>
  <c r="G46" i="7"/>
  <c r="F46" i="7"/>
  <c r="I45" i="7"/>
  <c r="H45" i="7"/>
  <c r="G45" i="7"/>
  <c r="F45" i="7"/>
  <c r="I44" i="7"/>
  <c r="H44" i="7"/>
  <c r="G44" i="7"/>
  <c r="F44" i="7"/>
  <c r="I43" i="7"/>
  <c r="H43" i="7"/>
  <c r="G43" i="7"/>
  <c r="F43" i="7"/>
  <c r="I42" i="7"/>
  <c r="H42" i="7"/>
  <c r="G42" i="7"/>
  <c r="F42" i="7"/>
  <c r="I41" i="7"/>
  <c r="H41" i="7"/>
  <c r="G41" i="7"/>
  <c r="F41" i="7"/>
  <c r="I40" i="7"/>
  <c r="H40" i="7"/>
  <c r="G40" i="7"/>
  <c r="F40" i="7"/>
  <c r="I39" i="7"/>
  <c r="H39" i="7"/>
  <c r="G39" i="7"/>
  <c r="F39" i="7"/>
  <c r="I38" i="7"/>
  <c r="H38" i="7"/>
  <c r="G38" i="7"/>
  <c r="F38" i="7"/>
  <c r="I37" i="7"/>
  <c r="H37" i="7"/>
  <c r="G37" i="7"/>
  <c r="F37" i="7"/>
  <c r="I36" i="7"/>
  <c r="H36" i="7"/>
  <c r="G36" i="7"/>
  <c r="F36" i="7"/>
  <c r="I35" i="7"/>
  <c r="H35" i="7"/>
  <c r="G35" i="7"/>
  <c r="F35" i="7"/>
  <c r="I34" i="7"/>
  <c r="H34" i="7"/>
  <c r="G34" i="7"/>
  <c r="F34" i="7"/>
  <c r="I33" i="7"/>
  <c r="H33" i="7"/>
  <c r="G33" i="7"/>
  <c r="F33" i="7"/>
  <c r="I32" i="7"/>
  <c r="H32" i="7"/>
  <c r="G32" i="7"/>
  <c r="F32" i="7"/>
  <c r="I31" i="7"/>
  <c r="H31" i="7"/>
  <c r="G31" i="7"/>
  <c r="F31" i="7"/>
  <c r="I30" i="7"/>
  <c r="H30" i="7"/>
  <c r="G30" i="7"/>
  <c r="F30" i="7"/>
  <c r="I29" i="7"/>
  <c r="H29" i="7"/>
  <c r="G29" i="7"/>
  <c r="F29" i="7"/>
  <c r="I28" i="7"/>
  <c r="H28" i="7"/>
  <c r="G28" i="7"/>
  <c r="F28" i="7"/>
  <c r="I27" i="7"/>
  <c r="H27" i="7"/>
  <c r="G27" i="7"/>
  <c r="F27" i="7"/>
  <c r="I26" i="7"/>
  <c r="H26" i="7"/>
  <c r="G26" i="7"/>
  <c r="F26" i="7"/>
  <c r="I25" i="7"/>
  <c r="H25" i="7"/>
  <c r="G25" i="7"/>
  <c r="F25" i="7"/>
  <c r="I24" i="7"/>
  <c r="H24" i="7"/>
  <c r="G24" i="7"/>
  <c r="F24" i="7"/>
  <c r="I23" i="7"/>
  <c r="H23" i="7"/>
  <c r="G23" i="7"/>
  <c r="F23" i="7"/>
  <c r="I22" i="7"/>
  <c r="H22" i="7"/>
  <c r="G22" i="7"/>
  <c r="F22" i="7"/>
  <c r="I21" i="7"/>
  <c r="H21" i="7"/>
  <c r="G21" i="7"/>
  <c r="F21" i="7"/>
  <c r="I20" i="7"/>
  <c r="H20" i="7"/>
  <c r="G20" i="7"/>
  <c r="F20" i="7"/>
  <c r="I19" i="7"/>
  <c r="H19" i="7"/>
  <c r="G19" i="7"/>
  <c r="F19" i="7"/>
  <c r="I18" i="7"/>
  <c r="H18" i="7"/>
  <c r="G18" i="7"/>
  <c r="F18" i="7"/>
  <c r="I17" i="7"/>
  <c r="H17" i="7"/>
  <c r="G17" i="7"/>
  <c r="F17" i="7"/>
  <c r="I16" i="7"/>
  <c r="H16" i="7"/>
  <c r="G16" i="7"/>
  <c r="F16" i="7"/>
  <c r="I15" i="7"/>
  <c r="H15" i="7"/>
  <c r="G15" i="7"/>
  <c r="B9" i="12" l="1"/>
  <c r="C23" i="12"/>
  <c r="D4" i="9" l="1"/>
  <c r="D5" i="9" s="1"/>
  <c r="E85" i="5" l="1"/>
  <c r="B58" i="9" l="1"/>
  <c r="J19" i="10" l="1"/>
  <c r="E9" i="12"/>
  <c r="D9" i="12"/>
  <c r="C9" i="12"/>
  <c r="E53" i="5"/>
  <c r="E51" i="5"/>
  <c r="B6" i="13" l="1"/>
  <c r="E6" i="13"/>
  <c r="B7" i="13"/>
  <c r="C7" i="13"/>
  <c r="C6" i="13"/>
  <c r="B50" i="5"/>
  <c r="B35" i="9"/>
  <c r="B87" i="9" l="1"/>
  <c r="B86" i="9" l="1"/>
  <c r="B23" i="12" l="1"/>
  <c r="D23" i="12"/>
  <c r="E23" i="12"/>
  <c r="E52" i="5"/>
  <c r="E50" i="5"/>
  <c r="B27" i="9" l="1"/>
  <c r="D27" i="5" l="1"/>
  <c r="D26" i="5"/>
  <c r="Q7"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P47" i="10"/>
  <c r="P14" i="10" s="1"/>
  <c r="O47" i="10"/>
  <c r="O14" i="10" l="1"/>
  <c r="G47" i="10"/>
  <c r="G14" i="10" s="1"/>
  <c r="G60" i="5"/>
  <c r="G59" i="5"/>
  <c r="G49" i="5"/>
  <c r="G76" i="8" s="1"/>
  <c r="G77" i="8" l="1"/>
  <c r="G390" i="7"/>
  <c r="G74" i="5"/>
  <c r="B82" i="9"/>
  <c r="G389" i="7"/>
  <c r="K389" i="7" s="1"/>
  <c r="B83" i="9"/>
  <c r="F66" i="5"/>
  <c r="H74" i="8" l="1"/>
  <c r="B30" i="9"/>
  <c r="J32" i="10" l="1"/>
  <c r="J31" i="10"/>
  <c r="J30" i="10"/>
  <c r="J29" i="10"/>
  <c r="J28" i="10"/>
  <c r="J27" i="10"/>
  <c r="J26" i="10"/>
  <c r="J25" i="10"/>
  <c r="J24" i="10"/>
  <c r="J23" i="10"/>
  <c r="J22" i="10"/>
  <c r="J21" i="10"/>
  <c r="J20" i="10"/>
  <c r="F199" i="7" l="1"/>
  <c r="B61" i="5"/>
  <c r="B62" i="5"/>
  <c r="B63" i="5"/>
  <c r="B64" i="5"/>
  <c r="B65" i="5"/>
  <c r="B66" i="5" l="1"/>
  <c r="F200"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M200" i="7" l="1"/>
  <c r="M199" i="7"/>
  <c r="M15" i="7"/>
  <c r="R15" i="7" l="1"/>
  <c r="C15" i="7" s="1"/>
  <c r="B38" i="9"/>
  <c r="J46" i="10" l="1"/>
  <c r="J45" i="10"/>
  <c r="J44" i="10"/>
  <c r="J43" i="10"/>
  <c r="J42" i="10"/>
  <c r="J41" i="10"/>
  <c r="J40" i="10"/>
  <c r="J39" i="10"/>
  <c r="J38" i="10"/>
  <c r="J37" i="10"/>
  <c r="J36" i="10"/>
  <c r="J35" i="10"/>
  <c r="J34" i="10"/>
  <c r="J33" i="10"/>
  <c r="J18" i="10" l="1"/>
  <c r="B119" i="8" l="1"/>
  <c r="B118" i="8"/>
  <c r="B117" i="8"/>
  <c r="B120" i="8"/>
  <c r="A62" i="9" l="1"/>
  <c r="B32" i="9"/>
  <c r="B29" i="9" l="1"/>
  <c r="F15" i="7" l="1"/>
  <c r="G168" i="7"/>
  <c r="H168" i="7"/>
  <c r="G169" i="7"/>
  <c r="H169" i="7"/>
  <c r="G170" i="7"/>
  <c r="H170" i="7"/>
  <c r="G171" i="7"/>
  <c r="H171" i="7"/>
  <c r="G172" i="7"/>
  <c r="H172" i="7"/>
  <c r="G173" i="7"/>
  <c r="H173" i="7"/>
  <c r="G174" i="7"/>
  <c r="H174" i="7"/>
  <c r="G175" i="7"/>
  <c r="H175" i="7"/>
  <c r="G176" i="7"/>
  <c r="H176" i="7"/>
  <c r="G177" i="7"/>
  <c r="H177" i="7"/>
  <c r="G178" i="7"/>
  <c r="H178" i="7"/>
  <c r="G179" i="7"/>
  <c r="H179" i="7"/>
  <c r="G180" i="7"/>
  <c r="H180" i="7"/>
  <c r="G181" i="7"/>
  <c r="H181" i="7"/>
  <c r="G182" i="7"/>
  <c r="H182" i="7"/>
  <c r="G183" i="7"/>
  <c r="H183" i="7"/>
  <c r="G184" i="7"/>
  <c r="H184" i="7"/>
  <c r="G185" i="7"/>
  <c r="H185" i="7"/>
  <c r="G186" i="7"/>
  <c r="H186" i="7"/>
  <c r="G187" i="7"/>
  <c r="H187" i="7"/>
  <c r="G188" i="7"/>
  <c r="H188" i="7"/>
  <c r="G189" i="7"/>
  <c r="H189" i="7"/>
  <c r="G190" i="7"/>
  <c r="H190" i="7"/>
  <c r="G191" i="7"/>
  <c r="H191" i="7"/>
  <c r="G192" i="7"/>
  <c r="H192" i="7"/>
  <c r="G193" i="7"/>
  <c r="H193" i="7"/>
  <c r="G194" i="7"/>
  <c r="H194" i="7"/>
  <c r="G195" i="7"/>
  <c r="H195" i="7"/>
  <c r="G196" i="7"/>
  <c r="H196" i="7"/>
  <c r="G197" i="7"/>
  <c r="H197" i="7"/>
  <c r="G198" i="7"/>
  <c r="H198" i="7"/>
  <c r="J15" i="7" l="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J56" i="7" s="1"/>
  <c r="J57" i="7" s="1"/>
  <c r="J58" i="7" s="1"/>
  <c r="J59" i="7" s="1"/>
  <c r="J60" i="7" s="1"/>
  <c r="J61" i="7" s="1"/>
  <c r="J62" i="7" s="1"/>
  <c r="J63" i="7" s="1"/>
  <c r="J64"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J91" i="7" s="1"/>
  <c r="J92" i="7" s="1"/>
  <c r="J93" i="7" s="1"/>
  <c r="J94" i="7" s="1"/>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J128" i="7" s="1"/>
  <c r="J129" i="7" s="1"/>
  <c r="J130" i="7" s="1"/>
  <c r="J131" i="7" s="1"/>
  <c r="J132" i="7" s="1"/>
  <c r="J133" i="7" s="1"/>
  <c r="J134" i="7" s="1"/>
  <c r="J135" i="7" s="1"/>
  <c r="J136" i="7" s="1"/>
  <c r="J137" i="7" s="1"/>
  <c r="J138" i="7" s="1"/>
  <c r="J139" i="7" s="1"/>
  <c r="J140" i="7" s="1"/>
  <c r="J141" i="7" s="1"/>
  <c r="J142" i="7" s="1"/>
  <c r="J143" i="7" s="1"/>
  <c r="J144" i="7" s="1"/>
  <c r="J145" i="7" s="1"/>
  <c r="J146" i="7" s="1"/>
  <c r="J147" i="7" s="1"/>
  <c r="J148" i="7" s="1"/>
  <c r="J149" i="7" s="1"/>
  <c r="J150" i="7" s="1"/>
  <c r="J151" i="7" s="1"/>
  <c r="J152" i="7" s="1"/>
  <c r="J153" i="7" s="1"/>
  <c r="J154" i="7" s="1"/>
  <c r="J155" i="7" s="1"/>
  <c r="J156" i="7" s="1"/>
  <c r="J157" i="7" s="1"/>
  <c r="J158" i="7" s="1"/>
  <c r="J159" i="7" s="1"/>
  <c r="J160" i="7" s="1"/>
  <c r="J161" i="7" s="1"/>
  <c r="J162" i="7" s="1"/>
  <c r="J163" i="7" s="1"/>
  <c r="J164" i="7" s="1"/>
  <c r="J165" i="7" s="1"/>
  <c r="J166" i="7" s="1"/>
  <c r="J167" i="7" s="1"/>
  <c r="J168" i="7" s="1"/>
  <c r="J169" i="7" s="1"/>
  <c r="J170" i="7" s="1"/>
  <c r="J171" i="7" s="1"/>
  <c r="J172" i="7" s="1"/>
  <c r="J173" i="7" s="1"/>
  <c r="J174" i="7" s="1"/>
  <c r="J175" i="7" s="1"/>
  <c r="J176" i="7" s="1"/>
  <c r="J177" i="7" s="1"/>
  <c r="J178" i="7" s="1"/>
  <c r="J179" i="7" s="1"/>
  <c r="J180" i="7" s="1"/>
  <c r="J181" i="7" s="1"/>
  <c r="J182" i="7" s="1"/>
  <c r="J183" i="7" s="1"/>
  <c r="J184" i="7" s="1"/>
  <c r="J185" i="7" s="1"/>
  <c r="J186" i="7" s="1"/>
  <c r="J187" i="7" s="1"/>
  <c r="J188" i="7" s="1"/>
  <c r="J189" i="7" s="1"/>
  <c r="J190" i="7" s="1"/>
  <c r="J191" i="7" s="1"/>
  <c r="J192" i="7" s="1"/>
  <c r="J193" i="7" s="1"/>
  <c r="J194" i="7" s="1"/>
  <c r="J195" i="7" s="1"/>
  <c r="J196" i="7" s="1"/>
  <c r="J197" i="7" s="1"/>
  <c r="J198" i="7" s="1"/>
  <c r="A100" i="8"/>
  <c r="J199" i="7" l="1"/>
  <c r="J200" i="7" s="1"/>
  <c r="J201" i="7" s="1"/>
  <c r="J202" i="7" s="1"/>
  <c r="J203" i="7" s="1"/>
  <c r="J204" i="7" s="1"/>
  <c r="J205" i="7" s="1"/>
  <c r="J206" i="7" s="1"/>
  <c r="J207" i="7" s="1"/>
  <c r="J208" i="7" s="1"/>
  <c r="J209" i="7" s="1"/>
  <c r="J210" i="7" s="1"/>
  <c r="J211" i="7" s="1"/>
  <c r="J212" i="7" s="1"/>
  <c r="J213" i="7" s="1"/>
  <c r="J214" i="7" s="1"/>
  <c r="J215" i="7" s="1"/>
  <c r="J216" i="7" s="1"/>
  <c r="J217" i="7" s="1"/>
  <c r="J218" i="7" s="1"/>
  <c r="J219" i="7" s="1"/>
  <c r="J220" i="7" s="1"/>
  <c r="J221" i="7" s="1"/>
  <c r="J222" i="7" s="1"/>
  <c r="J223" i="7" s="1"/>
  <c r="J224" i="7" s="1"/>
  <c r="J225" i="7" s="1"/>
  <c r="J226" i="7" s="1"/>
  <c r="J227" i="7" s="1"/>
  <c r="J228" i="7" s="1"/>
  <c r="J229" i="7" s="1"/>
  <c r="J230" i="7" s="1"/>
  <c r="J231" i="7" s="1"/>
  <c r="J232" i="7" s="1"/>
  <c r="J233" i="7" s="1"/>
  <c r="J234" i="7" s="1"/>
  <c r="J235" i="7" s="1"/>
  <c r="J236" i="7" s="1"/>
  <c r="J237" i="7" s="1"/>
  <c r="J238" i="7" s="1"/>
  <c r="J239" i="7" s="1"/>
  <c r="J240" i="7" s="1"/>
  <c r="J241" i="7" s="1"/>
  <c r="J242" i="7" s="1"/>
  <c r="J243" i="7" s="1"/>
  <c r="J244" i="7" s="1"/>
  <c r="J245" i="7" s="1"/>
  <c r="J246" i="7" s="1"/>
  <c r="J247" i="7" s="1"/>
  <c r="J248" i="7" s="1"/>
  <c r="J249" i="7" s="1"/>
  <c r="J250" i="7" s="1"/>
  <c r="J251" i="7" s="1"/>
  <c r="J252" i="7" s="1"/>
  <c r="J253" i="7" s="1"/>
  <c r="J254" i="7" s="1"/>
  <c r="J255" i="7" s="1"/>
  <c r="J256" i="7" s="1"/>
  <c r="J257" i="7" s="1"/>
  <c r="J258" i="7" s="1"/>
  <c r="J259" i="7" s="1"/>
  <c r="J260" i="7" s="1"/>
  <c r="J261" i="7" s="1"/>
  <c r="J262" i="7" s="1"/>
  <c r="J263" i="7" s="1"/>
  <c r="J264" i="7" s="1"/>
  <c r="J265" i="7" s="1"/>
  <c r="J266" i="7" s="1"/>
  <c r="J267" i="7" s="1"/>
  <c r="J268" i="7" s="1"/>
  <c r="J269" i="7" s="1"/>
  <c r="J270" i="7" s="1"/>
  <c r="J271" i="7" s="1"/>
  <c r="J272" i="7" s="1"/>
  <c r="J273" i="7" s="1"/>
  <c r="J274" i="7" s="1"/>
  <c r="J275" i="7" s="1"/>
  <c r="J276" i="7" s="1"/>
  <c r="J277" i="7" s="1"/>
  <c r="J278" i="7" s="1"/>
  <c r="J279" i="7" s="1"/>
  <c r="J280" i="7" s="1"/>
  <c r="J281" i="7" s="1"/>
  <c r="J282" i="7" s="1"/>
  <c r="J283" i="7" s="1"/>
  <c r="J284" i="7" s="1"/>
  <c r="J285" i="7" s="1"/>
  <c r="J286" i="7" s="1"/>
  <c r="J287" i="7" s="1"/>
  <c r="J288" i="7" s="1"/>
  <c r="J289" i="7" s="1"/>
  <c r="J290" i="7" s="1"/>
  <c r="J291" i="7" s="1"/>
  <c r="J292" i="7" s="1"/>
  <c r="J293" i="7" s="1"/>
  <c r="J294" i="7" s="1"/>
  <c r="J295" i="7" s="1"/>
  <c r="J296" i="7" s="1"/>
  <c r="J297" i="7" s="1"/>
  <c r="J298" i="7" s="1"/>
  <c r="J299" i="7" s="1"/>
  <c r="J300" i="7" s="1"/>
  <c r="J301" i="7" s="1"/>
  <c r="J302" i="7" s="1"/>
  <c r="J303" i="7" s="1"/>
  <c r="J304" i="7" s="1"/>
  <c r="J305" i="7" s="1"/>
  <c r="J306" i="7" s="1"/>
  <c r="J307" i="7" s="1"/>
  <c r="J308" i="7" s="1"/>
  <c r="J309" i="7" s="1"/>
  <c r="J310" i="7" s="1"/>
  <c r="J311" i="7" s="1"/>
  <c r="J312" i="7" s="1"/>
  <c r="J313" i="7" s="1"/>
  <c r="J314" i="7" s="1"/>
  <c r="J315" i="7" s="1"/>
  <c r="J316" i="7" s="1"/>
  <c r="J317" i="7" s="1"/>
  <c r="J318" i="7" s="1"/>
  <c r="J319" i="7" s="1"/>
  <c r="J320" i="7" s="1"/>
  <c r="J321" i="7" s="1"/>
  <c r="J322" i="7" s="1"/>
  <c r="J323" i="7" s="1"/>
  <c r="J324" i="7" s="1"/>
  <c r="J325" i="7" s="1"/>
  <c r="J326" i="7" s="1"/>
  <c r="J327" i="7" s="1"/>
  <c r="J328" i="7" s="1"/>
  <c r="J329" i="7" s="1"/>
  <c r="J330" i="7" s="1"/>
  <c r="J331" i="7" s="1"/>
  <c r="J332" i="7" s="1"/>
  <c r="J333" i="7" s="1"/>
  <c r="J334" i="7" s="1"/>
  <c r="J335" i="7" s="1"/>
  <c r="J336" i="7" s="1"/>
  <c r="J337" i="7" s="1"/>
  <c r="J338" i="7" s="1"/>
  <c r="J339" i="7" s="1"/>
  <c r="J340" i="7" s="1"/>
  <c r="J341" i="7" s="1"/>
  <c r="J342" i="7" s="1"/>
  <c r="J343" i="7" s="1"/>
  <c r="J344" i="7" s="1"/>
  <c r="J345" i="7" s="1"/>
  <c r="J346" i="7" s="1"/>
  <c r="J347" i="7" s="1"/>
  <c r="J348" i="7" s="1"/>
  <c r="J349" i="7" s="1"/>
  <c r="J350" i="7" s="1"/>
  <c r="J351" i="7" s="1"/>
  <c r="J352" i="7" s="1"/>
  <c r="J353" i="7" s="1"/>
  <c r="J354" i="7" s="1"/>
  <c r="J355" i="7" s="1"/>
  <c r="J356" i="7" s="1"/>
  <c r="J357" i="7" s="1"/>
  <c r="J358" i="7" s="1"/>
  <c r="J359" i="7" s="1"/>
  <c r="J360" i="7" s="1"/>
  <c r="J361" i="7" s="1"/>
  <c r="J362" i="7" s="1"/>
  <c r="J363" i="7" s="1"/>
  <c r="J364" i="7" s="1"/>
  <c r="J365" i="7" s="1"/>
  <c r="J366" i="7" s="1"/>
  <c r="J367" i="7" s="1"/>
  <c r="J368" i="7" s="1"/>
  <c r="J369" i="7" s="1"/>
  <c r="J370" i="7" s="1"/>
  <c r="J371" i="7" s="1"/>
  <c r="J372" i="7" s="1"/>
  <c r="J373" i="7" s="1"/>
  <c r="J374" i="7" s="1"/>
  <c r="J375" i="7" s="1"/>
  <c r="J376" i="7" s="1"/>
  <c r="J377" i="7" s="1"/>
  <c r="J378" i="7" s="1"/>
  <c r="J379" i="7" s="1"/>
  <c r="B78" i="9"/>
  <c r="B18" i="10" l="1"/>
  <c r="E26" i="12" l="1"/>
  <c r="D26" i="12"/>
  <c r="B26" i="12"/>
  <c r="J17" i="10"/>
  <c r="J16" i="10"/>
  <c r="C26" i="12" l="1"/>
  <c r="I10" i="10"/>
  <c r="R16" i="7"/>
  <c r="G64" i="5"/>
  <c r="R17" i="7" l="1"/>
  <c r="C16" i="7"/>
  <c r="B28" i="5"/>
  <c r="R18" i="7" l="1"/>
  <c r="C17" i="7"/>
  <c r="D15" i="7"/>
  <c r="B11" i="9"/>
  <c r="A35" i="8"/>
  <c r="D9" i="9"/>
  <c r="L13" i="4"/>
  <c r="B20" i="9"/>
  <c r="C34" i="5"/>
  <c r="N24" i="4"/>
  <c r="M24" i="4"/>
  <c r="L24" i="4"/>
  <c r="K24" i="4"/>
  <c r="M47" i="10"/>
  <c r="M14" i="10" s="1"/>
  <c r="L47" i="10"/>
  <c r="L14" i="10" s="1"/>
  <c r="F47" i="10"/>
  <c r="F14" i="10" s="1"/>
  <c r="E47" i="10"/>
  <c r="E14" i="10" s="1"/>
  <c r="D47" i="10"/>
  <c r="D14" i="10" s="1"/>
  <c r="B17" i="10"/>
  <c r="B6" i="12"/>
  <c r="C33" i="5"/>
  <c r="C50" i="5"/>
  <c r="D50" i="5"/>
  <c r="B52" i="9"/>
  <c r="C35" i="5" s="1"/>
  <c r="D6" i="9"/>
  <c r="C68" i="8" s="1"/>
  <c r="K94" i="4"/>
  <c r="C13" i="9"/>
  <c r="B33" i="9"/>
  <c r="B45" i="9"/>
  <c r="A50" i="10" s="1"/>
  <c r="B21" i="13"/>
  <c r="K93" i="4" s="1"/>
  <c r="E21" i="13"/>
  <c r="N93" i="4" s="1"/>
  <c r="C21" i="13"/>
  <c r="L93" i="4" s="1"/>
  <c r="E48" i="12"/>
  <c r="D48" i="12"/>
  <c r="C48" i="12"/>
  <c r="B48" i="12"/>
  <c r="E34" i="12"/>
  <c r="D34" i="12"/>
  <c r="C34" i="12"/>
  <c r="B34" i="12"/>
  <c r="E20" i="12"/>
  <c r="D20" i="12"/>
  <c r="C20" i="12"/>
  <c r="B20" i="12"/>
  <c r="E6" i="12"/>
  <c r="D6" i="12"/>
  <c r="C6" i="12"/>
  <c r="D6" i="13"/>
  <c r="K79" i="4"/>
  <c r="E7" i="13"/>
  <c r="N79" i="4" s="1"/>
  <c r="L79" i="4"/>
  <c r="L82" i="4" s="1"/>
  <c r="B49" i="12"/>
  <c r="K51" i="4" s="1"/>
  <c r="E49" i="12"/>
  <c r="N51" i="4" s="1"/>
  <c r="N53" i="4" s="1"/>
  <c r="C49" i="12"/>
  <c r="L51" i="4" s="1"/>
  <c r="B35" i="12"/>
  <c r="K38" i="4" s="1"/>
  <c r="E35" i="12"/>
  <c r="N38" i="4" s="1"/>
  <c r="C35" i="12"/>
  <c r="L38" i="4" s="1"/>
  <c r="B21" i="12"/>
  <c r="K25" i="4" s="1"/>
  <c r="E21" i="12"/>
  <c r="N25" i="4" s="1"/>
  <c r="C21" i="12"/>
  <c r="L25" i="4" s="1"/>
  <c r="B7" i="12"/>
  <c r="E7" i="12"/>
  <c r="N11" i="4" s="1"/>
  <c r="C7" i="12"/>
  <c r="L11" i="4" s="1"/>
  <c r="B20" i="13"/>
  <c r="E20" i="13"/>
  <c r="D20" i="13"/>
  <c r="C20" i="13"/>
  <c r="B57" i="5"/>
  <c r="E57" i="5"/>
  <c r="D57" i="5"/>
  <c r="C57" i="5"/>
  <c r="O52" i="10" s="1"/>
  <c r="B47" i="5"/>
  <c r="E47" i="5"/>
  <c r="D47" i="5"/>
  <c r="C47" i="5"/>
  <c r="G52" i="10" s="1"/>
  <c r="D53" i="5"/>
  <c r="C53" i="5"/>
  <c r="D52" i="5"/>
  <c r="C52" i="5"/>
  <c r="D51" i="5"/>
  <c r="C51" i="5"/>
  <c r="B53" i="5"/>
  <c r="B52" i="5"/>
  <c r="B51" i="5"/>
  <c r="J58" i="10"/>
  <c r="J57" i="10"/>
  <c r="J56" i="10"/>
  <c r="J55" i="10"/>
  <c r="J54" i="10"/>
  <c r="J53" i="10"/>
  <c r="B58" i="10"/>
  <c r="B57" i="10"/>
  <c r="B56" i="10"/>
  <c r="B55" i="10"/>
  <c r="B54" i="10"/>
  <c r="B53"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6" i="10"/>
  <c r="B54" i="9"/>
  <c r="A61" i="10" s="1"/>
  <c r="B42" i="9"/>
  <c r="E87" i="5" s="1"/>
  <c r="N94" i="4"/>
  <c r="M94" i="4"/>
  <c r="L94" i="4"/>
  <c r="L98" i="4" s="1"/>
  <c r="L104" i="4" s="1"/>
  <c r="K39" i="4"/>
  <c r="N52" i="4"/>
  <c r="M52" i="4"/>
  <c r="L52" i="4"/>
  <c r="K52" i="4"/>
  <c r="N39" i="4"/>
  <c r="M39" i="4"/>
  <c r="L39" i="4"/>
  <c r="N26" i="4"/>
  <c r="M26" i="4"/>
  <c r="L26" i="4"/>
  <c r="K26" i="4"/>
  <c r="N13" i="4"/>
  <c r="D25" i="5"/>
  <c r="D24" i="5"/>
  <c r="B41" i="5"/>
  <c r="N95" i="4"/>
  <c r="N96" i="4" s="1"/>
  <c r="N65" i="4"/>
  <c r="M65" i="4"/>
  <c r="L65" i="4"/>
  <c r="N64" i="4"/>
  <c r="M64" i="4"/>
  <c r="L64" i="4"/>
  <c r="A66" i="8"/>
  <c r="D22" i="5"/>
  <c r="C70" i="8"/>
  <c r="N10" i="4"/>
  <c r="M10" i="4"/>
  <c r="L10" i="4"/>
  <c r="K10" i="4"/>
  <c r="B36" i="9"/>
  <c r="M95" i="4"/>
  <c r="M96" i="4" s="1"/>
  <c r="L95" i="4"/>
  <c r="L96" i="4" s="1"/>
  <c r="N92" i="4"/>
  <c r="N88" i="4" s="1"/>
  <c r="N89" i="4" s="1"/>
  <c r="N97" i="4" s="1"/>
  <c r="M92" i="4"/>
  <c r="M88" i="4" s="1"/>
  <c r="M89" i="4" s="1"/>
  <c r="M97" i="4" s="1"/>
  <c r="L92" i="4"/>
  <c r="L88" i="4" s="1"/>
  <c r="L89" i="4" s="1"/>
  <c r="L97" i="4" s="1"/>
  <c r="N91" i="4"/>
  <c r="M91" i="4"/>
  <c r="L91" i="4"/>
  <c r="N78" i="4"/>
  <c r="M78" i="4"/>
  <c r="M74" i="4" s="1"/>
  <c r="M75" i="4" s="1"/>
  <c r="M83" i="4" s="1"/>
  <c r="L78" i="4"/>
  <c r="N77" i="4"/>
  <c r="M77" i="4"/>
  <c r="L77" i="4"/>
  <c r="N50" i="4"/>
  <c r="M50" i="4"/>
  <c r="L50" i="4"/>
  <c r="N49" i="4"/>
  <c r="M49" i="4"/>
  <c r="L49" i="4"/>
  <c r="N37" i="4"/>
  <c r="M37" i="4"/>
  <c r="L37" i="4"/>
  <c r="N36" i="4"/>
  <c r="M36" i="4"/>
  <c r="L36" i="4"/>
  <c r="N23" i="4"/>
  <c r="M23" i="4"/>
  <c r="L23" i="4"/>
  <c r="B3" i="7"/>
  <c r="B384" i="7"/>
  <c r="K92" i="4"/>
  <c r="K91" i="4"/>
  <c r="K78" i="4"/>
  <c r="K77" i="4"/>
  <c r="K50" i="4"/>
  <c r="K49" i="4"/>
  <c r="K37" i="4"/>
  <c r="K36" i="4"/>
  <c r="K23" i="4"/>
  <c r="K95" i="4"/>
  <c r="K96" i="4" s="1"/>
  <c r="E7" i="9"/>
  <c r="A53" i="8"/>
  <c r="A121" i="8" s="1"/>
  <c r="D3" i="9"/>
  <c r="A70" i="8" s="1"/>
  <c r="A6" i="8"/>
  <c r="B44" i="8"/>
  <c r="B43" i="8"/>
  <c r="K64" i="4"/>
  <c r="K65" i="4"/>
  <c r="K13" i="4"/>
  <c r="B46" i="9" l="1"/>
  <c r="A49" i="10" s="1"/>
  <c r="B34" i="9"/>
  <c r="B41" i="9" s="1"/>
  <c r="R19" i="7"/>
  <c r="C18" i="7"/>
  <c r="L101" i="4"/>
  <c r="L107" i="4" s="1"/>
  <c r="C29" i="13" s="1"/>
  <c r="N101" i="4"/>
  <c r="M101" i="4"/>
  <c r="M98" i="4"/>
  <c r="M104" i="4" s="1"/>
  <c r="N98" i="4"/>
  <c r="E28" i="13" s="1"/>
  <c r="G53" i="5"/>
  <c r="G51" i="5"/>
  <c r="G52" i="5"/>
  <c r="B12" i="12"/>
  <c r="G50" i="5"/>
  <c r="H84" i="8" s="1"/>
  <c r="K46" i="4"/>
  <c r="K47" i="4" s="1"/>
  <c r="L46" i="4"/>
  <c r="L47" i="4" s="1"/>
  <c r="M46" i="4"/>
  <c r="M47" i="4" s="1"/>
  <c r="K33" i="4"/>
  <c r="K34" i="4" s="1"/>
  <c r="M33" i="4"/>
  <c r="M34" i="4" s="1"/>
  <c r="N33" i="4"/>
  <c r="N34" i="4" s="1"/>
  <c r="M20" i="4"/>
  <c r="M21" i="4" s="1"/>
  <c r="L20" i="4"/>
  <c r="L21" i="4" s="1"/>
  <c r="N20" i="4"/>
  <c r="N21" i="4" s="1"/>
  <c r="K20" i="4"/>
  <c r="K21" i="4" s="1"/>
  <c r="N6" i="4"/>
  <c r="N7" i="4" s="1"/>
  <c r="M6" i="4"/>
  <c r="M7" i="4" s="1"/>
  <c r="K6" i="4"/>
  <c r="K7" i="4" s="1"/>
  <c r="L35" i="4"/>
  <c r="K8" i="4"/>
  <c r="E4" i="7" s="1"/>
  <c r="D12" i="12"/>
  <c r="M35" i="4"/>
  <c r="M76" i="4"/>
  <c r="N22" i="4"/>
  <c r="N8" i="4"/>
  <c r="K76" i="4"/>
  <c r="M48" i="4"/>
  <c r="A10" i="10"/>
  <c r="D16" i="7"/>
  <c r="C11" i="9"/>
  <c r="B104" i="8" s="1"/>
  <c r="M8" i="4"/>
  <c r="F13" i="10"/>
  <c r="F52" i="10" s="1"/>
  <c r="H7" i="7"/>
  <c r="I7" i="7"/>
  <c r="P7" i="7"/>
  <c r="F7" i="7"/>
  <c r="L13" i="10"/>
  <c r="L52" i="10" s="1"/>
  <c r="M7" i="7"/>
  <c r="O7" i="7"/>
  <c r="L48" i="4"/>
  <c r="N35" i="4"/>
  <c r="N13" i="10"/>
  <c r="N52" i="10" s="1"/>
  <c r="N90" i="4"/>
  <c r="G7" i="7"/>
  <c r="M13" i="10"/>
  <c r="M52" i="10" s="1"/>
  <c r="N7" i="7"/>
  <c r="L42" i="4"/>
  <c r="C42" i="12" s="1"/>
  <c r="L76" i="4"/>
  <c r="L74" i="4"/>
  <c r="L75" i="4" s="1"/>
  <c r="L83" i="4" s="1"/>
  <c r="N76" i="4"/>
  <c r="K48" i="4"/>
  <c r="N48" i="4"/>
  <c r="K35" i="4"/>
  <c r="L33" i="4"/>
  <c r="L34" i="4" s="1"/>
  <c r="L22" i="4"/>
  <c r="K22" i="4"/>
  <c r="M22" i="4"/>
  <c r="L8" i="4"/>
  <c r="D13" i="10"/>
  <c r="D52" i="10" s="1"/>
  <c r="E13" i="10"/>
  <c r="E52" i="10" s="1"/>
  <c r="K11" i="4"/>
  <c r="K12" i="4" s="1"/>
  <c r="K14" i="4" s="1"/>
  <c r="B98" i="8"/>
  <c r="L12" i="4"/>
  <c r="L16" i="4" s="1"/>
  <c r="C14" i="12" s="1"/>
  <c r="E12" i="12"/>
  <c r="C12" i="12"/>
  <c r="E66" i="5"/>
  <c r="N12" i="4"/>
  <c r="N14" i="4" s="1"/>
  <c r="M13" i="4"/>
  <c r="L8" i="9"/>
  <c r="D8" i="9" s="1"/>
  <c r="K16" i="4"/>
  <c r="B14" i="12" s="1"/>
  <c r="G65" i="5"/>
  <c r="D54" i="5"/>
  <c r="G62" i="5"/>
  <c r="E54" i="5"/>
  <c r="C54" i="5"/>
  <c r="A11" i="8"/>
  <c r="N27" i="4"/>
  <c r="N29" i="4"/>
  <c r="N42" i="4"/>
  <c r="E42" i="12" s="1"/>
  <c r="N40" i="4"/>
  <c r="N81" i="4"/>
  <c r="N82" i="4"/>
  <c r="L29" i="4"/>
  <c r="L27" i="4"/>
  <c r="L53" i="4"/>
  <c r="L55" i="4"/>
  <c r="C56" i="12" s="1"/>
  <c r="K27" i="4"/>
  <c r="K29" i="4"/>
  <c r="K42" i="4"/>
  <c r="B42" i="12" s="1"/>
  <c r="K40" i="4"/>
  <c r="K81" i="4"/>
  <c r="K82" i="4"/>
  <c r="B54" i="5"/>
  <c r="C66" i="5"/>
  <c r="K62" i="4"/>
  <c r="K55" i="4"/>
  <c r="B56" i="12" s="1"/>
  <c r="C28" i="13"/>
  <c r="K90" i="4"/>
  <c r="M90" i="4"/>
  <c r="K88" i="4"/>
  <c r="K89" i="4" s="1"/>
  <c r="K97" i="4" s="1"/>
  <c r="L90" i="4"/>
  <c r="N74" i="4"/>
  <c r="N75" i="4" s="1"/>
  <c r="N83" i="4" s="1"/>
  <c r="L81" i="4"/>
  <c r="K74" i="4"/>
  <c r="K75" i="4" s="1"/>
  <c r="N46" i="4"/>
  <c r="N47" i="4" s="1"/>
  <c r="N54" i="4" s="1"/>
  <c r="K53" i="4"/>
  <c r="N55" i="4"/>
  <c r="E56" i="12" s="1"/>
  <c r="L40" i="4"/>
  <c r="L6" i="4"/>
  <c r="L7" i="4" s="1"/>
  <c r="N16" i="4"/>
  <c r="A9" i="8"/>
  <c r="L54" i="4" l="1"/>
  <c r="K28" i="4"/>
  <c r="K41" i="4"/>
  <c r="N15" i="4"/>
  <c r="L41" i="4"/>
  <c r="C41" i="12" s="1"/>
  <c r="N41" i="4"/>
  <c r="L28" i="4"/>
  <c r="K54" i="4"/>
  <c r="B55" i="12" s="1"/>
  <c r="N28" i="4"/>
  <c r="E27" i="12" s="1"/>
  <c r="K378" i="7"/>
  <c r="N104" i="4"/>
  <c r="K15" i="4"/>
  <c r="K57" i="4" s="1"/>
  <c r="K67" i="4" s="1"/>
  <c r="B15" i="12" s="1"/>
  <c r="K16" i="7"/>
  <c r="D28" i="13"/>
  <c r="K58" i="4"/>
  <c r="B41" i="12"/>
  <c r="M107" i="4"/>
  <c r="D29" i="13" s="1"/>
  <c r="E27" i="13"/>
  <c r="H83" i="8"/>
  <c r="E13" i="12"/>
  <c r="D7" i="13"/>
  <c r="M79" i="4" s="1"/>
  <c r="D35" i="12"/>
  <c r="M38" i="4" s="1"/>
  <c r="D7" i="12"/>
  <c r="D21" i="13"/>
  <c r="M93" i="4" s="1"/>
  <c r="D49" i="12"/>
  <c r="M51" i="4" s="1"/>
  <c r="D21" i="12"/>
  <c r="M25" i="4" s="1"/>
  <c r="B53" i="9"/>
  <c r="A59" i="10" s="1"/>
  <c r="H81" i="8"/>
  <c r="R20" i="7"/>
  <c r="C19" i="7"/>
  <c r="D27" i="13"/>
  <c r="G54" i="5"/>
  <c r="G88" i="8" s="1"/>
  <c r="B55" i="9"/>
  <c r="A13" i="10" s="1"/>
  <c r="B43" i="9"/>
  <c r="B47" i="9" s="1"/>
  <c r="K17" i="7"/>
  <c r="C55" i="12"/>
  <c r="N59" i="4"/>
  <c r="N69" i="4" s="1"/>
  <c r="E43" i="12" s="1"/>
  <c r="L58" i="4"/>
  <c r="S16" i="7"/>
  <c r="S17" i="7"/>
  <c r="K98" i="4"/>
  <c r="K104" i="4" s="1"/>
  <c r="H74" i="5"/>
  <c r="C27" i="13"/>
  <c r="E55" i="12"/>
  <c r="D17" i="7"/>
  <c r="N107" i="4"/>
  <c r="E29" i="13" s="1"/>
  <c r="S15" i="7"/>
  <c r="K15" i="7"/>
  <c r="G391" i="7"/>
  <c r="G392" i="7" s="1"/>
  <c r="C28" i="12"/>
  <c r="L63" i="4"/>
  <c r="E28" i="12"/>
  <c r="N63" i="4"/>
  <c r="B28" i="12"/>
  <c r="K63" i="4"/>
  <c r="E8" i="9"/>
  <c r="L14" i="4"/>
  <c r="L15" i="4" s="1"/>
  <c r="F8" i="9"/>
  <c r="L62" i="4"/>
  <c r="M16" i="4"/>
  <c r="B44" i="9"/>
  <c r="A48" i="10" s="1"/>
  <c r="E86" i="5"/>
  <c r="B27" i="13"/>
  <c r="K101" i="4"/>
  <c r="L59" i="4"/>
  <c r="L69" i="4" s="1"/>
  <c r="C43" i="12" s="1"/>
  <c r="N62" i="4"/>
  <c r="E14" i="12"/>
  <c r="K59" i="4" l="1"/>
  <c r="K69" i="4" s="1"/>
  <c r="B43" i="12" s="1"/>
  <c r="N57" i="4"/>
  <c r="N67" i="4" s="1"/>
  <c r="E15" i="12" s="1"/>
  <c r="M27" i="4"/>
  <c r="M29" i="4"/>
  <c r="M55" i="4"/>
  <c r="D56" i="12" s="1"/>
  <c r="M53" i="4"/>
  <c r="M11" i="4"/>
  <c r="M12" i="4"/>
  <c r="M14" i="4" s="1"/>
  <c r="M40" i="4"/>
  <c r="M42" i="4"/>
  <c r="D42" i="12" s="1"/>
  <c r="M82" i="4"/>
  <c r="M81" i="4"/>
  <c r="R21" i="7"/>
  <c r="C20" i="7"/>
  <c r="F389" i="7"/>
  <c r="J383" i="7"/>
  <c r="S18" i="7"/>
  <c r="K18" i="7"/>
  <c r="K107" i="4"/>
  <c r="B29" i="13" s="1"/>
  <c r="N58" i="4"/>
  <c r="N68" i="4" s="1"/>
  <c r="E29" i="12" s="1"/>
  <c r="B13" i="12"/>
  <c r="B28" i="13"/>
  <c r="K60" i="4"/>
  <c r="K70" i="4" s="1"/>
  <c r="B57" i="12" s="1"/>
  <c r="C27" i="12"/>
  <c r="E41" i="12"/>
  <c r="N60" i="4"/>
  <c r="N70" i="4" s="1"/>
  <c r="E57" i="12" s="1"/>
  <c r="L60" i="4"/>
  <c r="L70" i="4" s="1"/>
  <c r="C57" i="12" s="1"/>
  <c r="D18" i="7"/>
  <c r="B27" i="12"/>
  <c r="K68" i="4"/>
  <c r="B29" i="12" s="1"/>
  <c r="B17" i="9"/>
  <c r="A19" i="8" s="1"/>
  <c r="L68" i="4"/>
  <c r="C29" i="12" s="1"/>
  <c r="A56" i="5"/>
  <c r="D14" i="12"/>
  <c r="M62" i="4"/>
  <c r="C13" i="12"/>
  <c r="L57" i="4"/>
  <c r="L67" i="4" s="1"/>
  <c r="C15" i="12" s="1"/>
  <c r="M54" i="4" l="1"/>
  <c r="D55" i="12" s="1"/>
  <c r="M41" i="4"/>
  <c r="D41" i="12" s="1"/>
  <c r="M28" i="4"/>
  <c r="D27" i="12" s="1"/>
  <c r="M15" i="4"/>
  <c r="D13" i="12" s="1"/>
  <c r="D28" i="12"/>
  <c r="M63" i="4"/>
  <c r="M59" i="4"/>
  <c r="M69" i="4" s="1"/>
  <c r="D43" i="12" s="1"/>
  <c r="R22" i="7"/>
  <c r="C21" i="7"/>
  <c r="S19" i="7"/>
  <c r="K19" i="7"/>
  <c r="D19" i="7"/>
  <c r="M60" i="4" l="1"/>
  <c r="M70" i="4" s="1"/>
  <c r="D57" i="12" s="1"/>
  <c r="M58" i="4"/>
  <c r="M68" i="4" s="1"/>
  <c r="D29" i="12" s="1"/>
  <c r="M57" i="4"/>
  <c r="M67" i="4" s="1"/>
  <c r="D15" i="12" s="1"/>
  <c r="R23" i="7"/>
  <c r="C22" i="7"/>
  <c r="S20" i="7"/>
  <c r="K20" i="7"/>
  <c r="D20" i="7"/>
  <c r="N47" i="10"/>
  <c r="N14" i="10" s="1"/>
  <c r="R24" i="7" l="1"/>
  <c r="C23" i="7"/>
  <c r="S21" i="7"/>
  <c r="K21" i="7"/>
  <c r="G63" i="5"/>
  <c r="D21" i="7"/>
  <c r="D66" i="5"/>
  <c r="B48" i="9" l="1"/>
  <c r="A68" i="5" s="1"/>
  <c r="H82" i="8"/>
  <c r="R25" i="7"/>
  <c r="C24" i="7"/>
  <c r="S22" i="7"/>
  <c r="K22" i="7"/>
  <c r="G61" i="5"/>
  <c r="H80" i="8" s="1"/>
  <c r="D22" i="7"/>
  <c r="R26" i="7" l="1"/>
  <c r="C25" i="7"/>
  <c r="G66" i="5"/>
  <c r="B56" i="9"/>
  <c r="I13" i="10" s="1"/>
  <c r="S23" i="7"/>
  <c r="K23" i="7"/>
  <c r="D23" i="7"/>
  <c r="G75" i="5" l="1"/>
  <c r="G77" i="5" s="1"/>
  <c r="G89" i="8"/>
  <c r="R27" i="7"/>
  <c r="C26" i="7"/>
  <c r="B24" i="9"/>
  <c r="R383" i="7"/>
  <c r="F390" i="7"/>
  <c r="K393" i="7"/>
  <c r="S24" i="7"/>
  <c r="K24" i="7"/>
  <c r="D24" i="7"/>
  <c r="H86" i="8" l="1"/>
  <c r="B26" i="9" s="1"/>
  <c r="H93" i="8" s="1"/>
  <c r="R28" i="7"/>
  <c r="C27" i="7"/>
  <c r="B25" i="9"/>
  <c r="H92" i="8" s="1"/>
  <c r="H91" i="8"/>
  <c r="S25" i="7"/>
  <c r="K25" i="7"/>
  <c r="D25" i="7"/>
  <c r="B91" i="8"/>
  <c r="R29" i="7" l="1"/>
  <c r="C28" i="7"/>
  <c r="S26" i="7"/>
  <c r="K26" i="7"/>
  <c r="D26" i="7"/>
  <c r="R30" i="7" l="1"/>
  <c r="C29" i="7"/>
  <c r="S27" i="7"/>
  <c r="K27" i="7"/>
  <c r="D27" i="7"/>
  <c r="R31" i="7" l="1"/>
  <c r="C30" i="7"/>
  <c r="S28" i="7"/>
  <c r="K28" i="7"/>
  <c r="D28" i="7"/>
  <c r="R32" i="7" l="1"/>
  <c r="C31" i="7"/>
  <c r="S29" i="7"/>
  <c r="K29" i="7"/>
  <c r="D29" i="7"/>
  <c r="R33" i="7" l="1"/>
  <c r="C32" i="7"/>
  <c r="S30" i="7"/>
  <c r="K30" i="7"/>
  <c r="D30" i="7"/>
  <c r="R34" i="7" l="1"/>
  <c r="C33" i="7"/>
  <c r="S31" i="7"/>
  <c r="K31" i="7"/>
  <c r="D31" i="7"/>
  <c r="R35" i="7" l="1"/>
  <c r="C34" i="7"/>
  <c r="S32" i="7"/>
  <c r="K32" i="7"/>
  <c r="D32" i="7"/>
  <c r="R36" i="7" l="1"/>
  <c r="C35" i="7"/>
  <c r="S33" i="7"/>
  <c r="K33" i="7"/>
  <c r="D33" i="7"/>
  <c r="R37" i="7" l="1"/>
  <c r="C36" i="7"/>
  <c r="S34" i="7"/>
  <c r="K34" i="7"/>
  <c r="D34" i="7"/>
  <c r="R38" i="7" l="1"/>
  <c r="C37" i="7"/>
  <c r="S35" i="7"/>
  <c r="K35" i="7"/>
  <c r="D35" i="7"/>
  <c r="R39" i="7" l="1"/>
  <c r="C38" i="7"/>
  <c r="S36" i="7"/>
  <c r="K36" i="7"/>
  <c r="D36" i="7"/>
  <c r="R40" i="7" l="1"/>
  <c r="C39" i="7"/>
  <c r="S37" i="7"/>
  <c r="K37" i="7"/>
  <c r="D37" i="7"/>
  <c r="R41" i="7" l="1"/>
  <c r="C40" i="7"/>
  <c r="S38" i="7"/>
  <c r="K38" i="7"/>
  <c r="D38" i="7"/>
  <c r="R42" i="7" l="1"/>
  <c r="C41" i="7"/>
  <c r="S39" i="7"/>
  <c r="K39" i="7"/>
  <c r="D39" i="7"/>
  <c r="R43" i="7" l="1"/>
  <c r="C42" i="7"/>
  <c r="S40" i="7"/>
  <c r="K40" i="7"/>
  <c r="D40" i="7"/>
  <c r="R44" i="7" l="1"/>
  <c r="C43" i="7"/>
  <c r="S41" i="7"/>
  <c r="K41" i="7"/>
  <c r="D41" i="7"/>
  <c r="R45" i="7" l="1"/>
  <c r="C44" i="7"/>
  <c r="S42" i="7"/>
  <c r="K42" i="7"/>
  <c r="D42" i="7"/>
  <c r="R46" i="7" l="1"/>
  <c r="C45" i="7"/>
  <c r="S43" i="7"/>
  <c r="K43" i="7"/>
  <c r="D43" i="7"/>
  <c r="R47" i="7" l="1"/>
  <c r="C46" i="7"/>
  <c r="S44" i="7"/>
  <c r="K44" i="7"/>
  <c r="D44" i="7"/>
  <c r="R48" i="7" l="1"/>
  <c r="C47" i="7"/>
  <c r="S45" i="7"/>
  <c r="K45" i="7"/>
  <c r="D45" i="7"/>
  <c r="R49" i="7" l="1"/>
  <c r="C48" i="7"/>
  <c r="S46" i="7"/>
  <c r="K46" i="7"/>
  <c r="D46" i="7"/>
  <c r="R50" i="7" l="1"/>
  <c r="C49" i="7"/>
  <c r="S47" i="7"/>
  <c r="K47" i="7"/>
  <c r="D47" i="7"/>
  <c r="R51" i="7" l="1"/>
  <c r="C50" i="7"/>
  <c r="S48" i="7"/>
  <c r="K48" i="7"/>
  <c r="D48" i="7"/>
  <c r="R52" i="7" l="1"/>
  <c r="C51" i="7"/>
  <c r="S49" i="7"/>
  <c r="K49" i="7"/>
  <c r="D49" i="7"/>
  <c r="R53" i="7" l="1"/>
  <c r="C52" i="7"/>
  <c r="S50" i="7"/>
  <c r="K50" i="7"/>
  <c r="D50" i="7"/>
  <c r="R54" i="7" l="1"/>
  <c r="C53" i="7"/>
  <c r="S51" i="7"/>
  <c r="K51" i="7"/>
  <c r="D51" i="7"/>
  <c r="R55" i="7" l="1"/>
  <c r="C54" i="7"/>
  <c r="S52" i="7"/>
  <c r="K52" i="7"/>
  <c r="D52" i="7"/>
  <c r="R56" i="7" l="1"/>
  <c r="C55" i="7"/>
  <c r="S53" i="7"/>
  <c r="K53" i="7"/>
  <c r="D53" i="7"/>
  <c r="R57" i="7" l="1"/>
  <c r="C56" i="7"/>
  <c r="S54" i="7"/>
  <c r="K54" i="7"/>
  <c r="D54" i="7"/>
  <c r="R58" i="7" l="1"/>
  <c r="C57" i="7"/>
  <c r="S55" i="7"/>
  <c r="K55" i="7"/>
  <c r="D55" i="7"/>
  <c r="R59" i="7" l="1"/>
  <c r="C58" i="7"/>
  <c r="S56" i="7"/>
  <c r="K56" i="7"/>
  <c r="D56" i="7"/>
  <c r="R60" i="7" l="1"/>
  <c r="C59" i="7"/>
  <c r="S57" i="7"/>
  <c r="K57" i="7"/>
  <c r="D57" i="7"/>
  <c r="R61" i="7" l="1"/>
  <c r="C60" i="7"/>
  <c r="S58" i="7"/>
  <c r="K58" i="7"/>
  <c r="D58" i="7"/>
  <c r="R62" i="7" l="1"/>
  <c r="C61" i="7"/>
  <c r="S59" i="7"/>
  <c r="K59" i="7"/>
  <c r="D59" i="7"/>
  <c r="R63" i="7" l="1"/>
  <c r="C62" i="7"/>
  <c r="S60" i="7"/>
  <c r="K60" i="7"/>
  <c r="D60" i="7"/>
  <c r="R64" i="7" l="1"/>
  <c r="C63" i="7"/>
  <c r="S61" i="7"/>
  <c r="K61" i="7"/>
  <c r="D61" i="7"/>
  <c r="R65" i="7" l="1"/>
  <c r="C64" i="7"/>
  <c r="S62" i="7"/>
  <c r="K62" i="7"/>
  <c r="D62" i="7"/>
  <c r="R66" i="7" l="1"/>
  <c r="C65" i="7"/>
  <c r="S63" i="7"/>
  <c r="K63" i="7"/>
  <c r="D63" i="7"/>
  <c r="R67" i="7" l="1"/>
  <c r="C66" i="7"/>
  <c r="S64" i="7"/>
  <c r="K64" i="7"/>
  <c r="D64" i="7"/>
  <c r="R68" i="7" l="1"/>
  <c r="C67" i="7"/>
  <c r="S65" i="7"/>
  <c r="K65" i="7"/>
  <c r="D65" i="7"/>
  <c r="R69" i="7" l="1"/>
  <c r="C68" i="7"/>
  <c r="S66" i="7"/>
  <c r="K66" i="7"/>
  <c r="D66" i="7"/>
  <c r="R70" i="7" l="1"/>
  <c r="C69" i="7"/>
  <c r="S67" i="7"/>
  <c r="K67" i="7"/>
  <c r="D67" i="7"/>
  <c r="R71" i="7" l="1"/>
  <c r="C70" i="7"/>
  <c r="S68" i="7"/>
  <c r="K68" i="7"/>
  <c r="D68" i="7"/>
  <c r="R72" i="7" l="1"/>
  <c r="C71" i="7"/>
  <c r="S69" i="7"/>
  <c r="K69" i="7"/>
  <c r="D69" i="7"/>
  <c r="R73" i="7" l="1"/>
  <c r="C72" i="7"/>
  <c r="S70" i="7"/>
  <c r="K70" i="7"/>
  <c r="D70" i="7"/>
  <c r="R74" i="7" l="1"/>
  <c r="C73" i="7"/>
  <c r="S71" i="7"/>
  <c r="K71" i="7"/>
  <c r="D71" i="7"/>
  <c r="R75" i="7" l="1"/>
  <c r="C74" i="7"/>
  <c r="S72" i="7"/>
  <c r="K72" i="7"/>
  <c r="D72" i="7"/>
  <c r="R76" i="7" l="1"/>
  <c r="C75" i="7"/>
  <c r="S73" i="7"/>
  <c r="K73" i="7"/>
  <c r="D73" i="7"/>
  <c r="R77" i="7" l="1"/>
  <c r="C76" i="7"/>
  <c r="S74" i="7"/>
  <c r="K74" i="7"/>
  <c r="D74" i="7"/>
  <c r="R78" i="7" l="1"/>
  <c r="C77" i="7"/>
  <c r="S75" i="7"/>
  <c r="K75" i="7"/>
  <c r="D75" i="7"/>
  <c r="R79" i="7" l="1"/>
  <c r="C78" i="7"/>
  <c r="S76" i="7"/>
  <c r="K76" i="7"/>
  <c r="D76" i="7"/>
  <c r="R80" i="7" l="1"/>
  <c r="C79" i="7"/>
  <c r="S77" i="7"/>
  <c r="K77" i="7"/>
  <c r="D77" i="7"/>
  <c r="R81" i="7" l="1"/>
  <c r="C80" i="7"/>
  <c r="S78" i="7"/>
  <c r="K78" i="7"/>
  <c r="D78" i="7"/>
  <c r="R82" i="7" l="1"/>
  <c r="C81" i="7"/>
  <c r="S79" i="7"/>
  <c r="K79" i="7"/>
  <c r="D79" i="7"/>
  <c r="R83" i="7" l="1"/>
  <c r="C82" i="7"/>
  <c r="S80" i="7"/>
  <c r="K80" i="7"/>
  <c r="D80" i="7"/>
  <c r="R84" i="7" l="1"/>
  <c r="C83" i="7"/>
  <c r="S81" i="7"/>
  <c r="K81" i="7"/>
  <c r="D81" i="7"/>
  <c r="R85" i="7" l="1"/>
  <c r="C84" i="7"/>
  <c r="S82" i="7"/>
  <c r="K82" i="7"/>
  <c r="D82" i="7"/>
  <c r="R86" i="7" l="1"/>
  <c r="C85" i="7"/>
  <c r="S83" i="7"/>
  <c r="K83" i="7"/>
  <c r="D83" i="7"/>
  <c r="R87" i="7" l="1"/>
  <c r="C86" i="7"/>
  <c r="S84" i="7"/>
  <c r="K84" i="7"/>
  <c r="D84" i="7"/>
  <c r="R88" i="7" l="1"/>
  <c r="C87" i="7"/>
  <c r="S85" i="7"/>
  <c r="K85" i="7"/>
  <c r="D85" i="7"/>
  <c r="R89" i="7" l="1"/>
  <c r="C88" i="7"/>
  <c r="S86" i="7"/>
  <c r="K86" i="7"/>
  <c r="D86" i="7"/>
  <c r="R90" i="7" l="1"/>
  <c r="C89" i="7"/>
  <c r="S87" i="7"/>
  <c r="K87" i="7"/>
  <c r="D87" i="7"/>
  <c r="R91" i="7" l="1"/>
  <c r="C90" i="7"/>
  <c r="S88" i="7"/>
  <c r="K88" i="7"/>
  <c r="D88" i="7"/>
  <c r="R92" i="7" l="1"/>
  <c r="C91" i="7"/>
  <c r="S89" i="7"/>
  <c r="K89" i="7"/>
  <c r="D89" i="7"/>
  <c r="R93" i="7" l="1"/>
  <c r="C92" i="7"/>
  <c r="S90" i="7"/>
  <c r="K90" i="7"/>
  <c r="D90" i="7"/>
  <c r="R94" i="7" l="1"/>
  <c r="C93" i="7"/>
  <c r="S91" i="7"/>
  <c r="K91" i="7"/>
  <c r="D91" i="7"/>
  <c r="R95" i="7" l="1"/>
  <c r="C94" i="7"/>
  <c r="S92" i="7"/>
  <c r="K92" i="7"/>
  <c r="D92" i="7"/>
  <c r="R96" i="7" l="1"/>
  <c r="C95" i="7"/>
  <c r="S93" i="7"/>
  <c r="K93" i="7"/>
  <c r="D93" i="7"/>
  <c r="R97" i="7" l="1"/>
  <c r="C96" i="7"/>
  <c r="S94" i="7"/>
  <c r="K94" i="7"/>
  <c r="D94" i="7"/>
  <c r="R98" i="7" l="1"/>
  <c r="C97" i="7"/>
  <c r="S95" i="7"/>
  <c r="K95" i="7"/>
  <c r="D95" i="7"/>
  <c r="R99" i="7" l="1"/>
  <c r="C98" i="7"/>
  <c r="S96" i="7"/>
  <c r="K96" i="7"/>
  <c r="D96" i="7"/>
  <c r="R100" i="7" l="1"/>
  <c r="C99" i="7"/>
  <c r="S97" i="7"/>
  <c r="K97" i="7"/>
  <c r="D97" i="7"/>
  <c r="R101" i="7" l="1"/>
  <c r="C100" i="7"/>
  <c r="S98" i="7"/>
  <c r="K98" i="7"/>
  <c r="D98" i="7"/>
  <c r="R102" i="7" l="1"/>
  <c r="C101" i="7"/>
  <c r="S99" i="7"/>
  <c r="K99" i="7"/>
  <c r="D99" i="7"/>
  <c r="R103" i="7" l="1"/>
  <c r="C102" i="7"/>
  <c r="S100" i="7"/>
  <c r="K100" i="7"/>
  <c r="D100" i="7"/>
  <c r="R104" i="7" l="1"/>
  <c r="C103" i="7"/>
  <c r="S101" i="7"/>
  <c r="K101" i="7"/>
  <c r="D101" i="7"/>
  <c r="R105" i="7" l="1"/>
  <c r="C104" i="7"/>
  <c r="S102" i="7"/>
  <c r="K102" i="7"/>
  <c r="D102" i="7"/>
  <c r="R106" i="7" l="1"/>
  <c r="C105" i="7"/>
  <c r="S103" i="7"/>
  <c r="K103" i="7"/>
  <c r="D103" i="7"/>
  <c r="R107" i="7" l="1"/>
  <c r="C106" i="7"/>
  <c r="S104" i="7"/>
  <c r="K104" i="7"/>
  <c r="D104" i="7"/>
  <c r="R108" i="7" l="1"/>
  <c r="C107" i="7"/>
  <c r="S105" i="7"/>
  <c r="K105" i="7"/>
  <c r="D105" i="7"/>
  <c r="R109" i="7" l="1"/>
  <c r="C108" i="7"/>
  <c r="S106" i="7"/>
  <c r="K106" i="7"/>
  <c r="D106" i="7"/>
  <c r="R110" i="7" l="1"/>
  <c r="C109" i="7"/>
  <c r="S107" i="7"/>
  <c r="K107" i="7"/>
  <c r="D107" i="7"/>
  <c r="R111" i="7" l="1"/>
  <c r="C110" i="7"/>
  <c r="S108" i="7"/>
  <c r="K108" i="7"/>
  <c r="D108" i="7"/>
  <c r="R112" i="7" l="1"/>
  <c r="C111" i="7"/>
  <c r="S109" i="7"/>
  <c r="K109" i="7"/>
  <c r="D109" i="7"/>
  <c r="R113" i="7" l="1"/>
  <c r="C112" i="7"/>
  <c r="S110" i="7"/>
  <c r="K110" i="7"/>
  <c r="D110" i="7"/>
  <c r="R114" i="7" l="1"/>
  <c r="C113" i="7"/>
  <c r="S111" i="7"/>
  <c r="K111" i="7"/>
  <c r="D111" i="7"/>
  <c r="R115" i="7" l="1"/>
  <c r="C114" i="7"/>
  <c r="S112" i="7"/>
  <c r="K112" i="7"/>
  <c r="D112" i="7"/>
  <c r="R116" i="7" l="1"/>
  <c r="C115" i="7"/>
  <c r="S113" i="7"/>
  <c r="K113" i="7"/>
  <c r="D113" i="7"/>
  <c r="R117" i="7" l="1"/>
  <c r="C116" i="7"/>
  <c r="S114" i="7"/>
  <c r="K114" i="7"/>
  <c r="D114" i="7"/>
  <c r="R118" i="7" l="1"/>
  <c r="C117" i="7"/>
  <c r="S115" i="7"/>
  <c r="K115" i="7"/>
  <c r="D115" i="7"/>
  <c r="R119" i="7" l="1"/>
  <c r="C118" i="7"/>
  <c r="S116" i="7"/>
  <c r="K116" i="7"/>
  <c r="D116" i="7"/>
  <c r="R120" i="7" l="1"/>
  <c r="C119" i="7"/>
  <c r="S117" i="7"/>
  <c r="K117" i="7"/>
  <c r="D117" i="7"/>
  <c r="R121" i="7" l="1"/>
  <c r="C120" i="7"/>
  <c r="S118" i="7"/>
  <c r="K118" i="7"/>
  <c r="D118" i="7"/>
  <c r="R122" i="7" l="1"/>
  <c r="C121" i="7"/>
  <c r="S119" i="7"/>
  <c r="K119" i="7"/>
  <c r="D119" i="7"/>
  <c r="R123" i="7" l="1"/>
  <c r="C122" i="7"/>
  <c r="S120" i="7"/>
  <c r="K120" i="7"/>
  <c r="D120" i="7"/>
  <c r="R124" i="7" l="1"/>
  <c r="C123" i="7"/>
  <c r="S121" i="7"/>
  <c r="K121" i="7"/>
  <c r="D121" i="7"/>
  <c r="R125" i="7" l="1"/>
  <c r="C124" i="7"/>
  <c r="S122" i="7"/>
  <c r="K122" i="7"/>
  <c r="D122" i="7"/>
  <c r="R126" i="7" l="1"/>
  <c r="C125" i="7"/>
  <c r="S123" i="7"/>
  <c r="K123" i="7"/>
  <c r="D123" i="7"/>
  <c r="R127" i="7" l="1"/>
  <c r="C126" i="7"/>
  <c r="S124" i="7"/>
  <c r="K124" i="7"/>
  <c r="D124" i="7"/>
  <c r="R128" i="7" l="1"/>
  <c r="C127" i="7"/>
  <c r="S125" i="7"/>
  <c r="K125" i="7"/>
  <c r="D125" i="7"/>
  <c r="R129" i="7" l="1"/>
  <c r="C128" i="7"/>
  <c r="S126" i="7"/>
  <c r="K126" i="7"/>
  <c r="D126" i="7"/>
  <c r="R130" i="7" l="1"/>
  <c r="C129" i="7"/>
  <c r="S127" i="7"/>
  <c r="K127" i="7"/>
  <c r="D127" i="7"/>
  <c r="R131" i="7" l="1"/>
  <c r="C130" i="7"/>
  <c r="S128" i="7"/>
  <c r="K128" i="7"/>
  <c r="D128" i="7"/>
  <c r="R132" i="7" l="1"/>
  <c r="C131" i="7"/>
  <c r="S129" i="7"/>
  <c r="K129" i="7"/>
  <c r="D129" i="7"/>
  <c r="R133" i="7" l="1"/>
  <c r="C132" i="7"/>
  <c r="S130" i="7"/>
  <c r="K130" i="7"/>
  <c r="D130" i="7"/>
  <c r="R134" i="7" l="1"/>
  <c r="C133" i="7"/>
  <c r="S131" i="7"/>
  <c r="K131" i="7"/>
  <c r="D131" i="7"/>
  <c r="R135" i="7" l="1"/>
  <c r="C134" i="7"/>
  <c r="S132" i="7"/>
  <c r="K132" i="7"/>
  <c r="D132" i="7"/>
  <c r="R136" i="7" l="1"/>
  <c r="C135" i="7"/>
  <c r="S133" i="7"/>
  <c r="K133" i="7"/>
  <c r="D133" i="7"/>
  <c r="R137" i="7" l="1"/>
  <c r="C136" i="7"/>
  <c r="S134" i="7"/>
  <c r="K134" i="7"/>
  <c r="D134" i="7"/>
  <c r="R138" i="7" l="1"/>
  <c r="C137" i="7"/>
  <c r="S135" i="7"/>
  <c r="K135" i="7"/>
  <c r="D135" i="7"/>
  <c r="R139" i="7" l="1"/>
  <c r="C138" i="7"/>
  <c r="S136" i="7"/>
  <c r="K136" i="7"/>
  <c r="D136" i="7"/>
  <c r="R140" i="7" l="1"/>
  <c r="C139" i="7"/>
  <c r="S137" i="7"/>
  <c r="K137" i="7"/>
  <c r="D137" i="7"/>
  <c r="R141" i="7" l="1"/>
  <c r="C140" i="7"/>
  <c r="S138" i="7"/>
  <c r="K138" i="7"/>
  <c r="D138" i="7"/>
  <c r="R142" i="7" l="1"/>
  <c r="C141" i="7"/>
  <c r="S139" i="7"/>
  <c r="K139" i="7"/>
  <c r="D139" i="7"/>
  <c r="R143" i="7" l="1"/>
  <c r="C142" i="7"/>
  <c r="S140" i="7"/>
  <c r="K140" i="7"/>
  <c r="D140" i="7"/>
  <c r="R144" i="7" l="1"/>
  <c r="C143" i="7"/>
  <c r="S141" i="7"/>
  <c r="K141" i="7"/>
  <c r="D141" i="7"/>
  <c r="R145" i="7" l="1"/>
  <c r="C144" i="7"/>
  <c r="S142" i="7"/>
  <c r="K142" i="7"/>
  <c r="D142" i="7"/>
  <c r="R146" i="7" l="1"/>
  <c r="C145" i="7"/>
  <c r="S143" i="7"/>
  <c r="K143" i="7"/>
  <c r="D143" i="7"/>
  <c r="R147" i="7" l="1"/>
  <c r="C146" i="7"/>
  <c r="S144" i="7"/>
  <c r="K144" i="7"/>
  <c r="D144" i="7"/>
  <c r="R148" i="7" l="1"/>
  <c r="C147" i="7"/>
  <c r="S145" i="7"/>
  <c r="K145" i="7"/>
  <c r="D145" i="7"/>
  <c r="R149" i="7" l="1"/>
  <c r="C148" i="7"/>
  <c r="S146" i="7"/>
  <c r="K146" i="7"/>
  <c r="D146" i="7"/>
  <c r="R150" i="7" l="1"/>
  <c r="C149" i="7"/>
  <c r="S147" i="7"/>
  <c r="K147" i="7"/>
  <c r="D147" i="7"/>
  <c r="R151" i="7" l="1"/>
  <c r="C150" i="7"/>
  <c r="S148" i="7"/>
  <c r="K148" i="7"/>
  <c r="D148" i="7"/>
  <c r="R152" i="7" l="1"/>
  <c r="C151" i="7"/>
  <c r="S149" i="7"/>
  <c r="K149" i="7"/>
  <c r="D149" i="7"/>
  <c r="R153" i="7" l="1"/>
  <c r="C152" i="7"/>
  <c r="S150" i="7"/>
  <c r="K150" i="7"/>
  <c r="D150" i="7"/>
  <c r="R154" i="7" l="1"/>
  <c r="C153" i="7"/>
  <c r="S151" i="7"/>
  <c r="K151" i="7"/>
  <c r="D151" i="7"/>
  <c r="R155" i="7" l="1"/>
  <c r="C154" i="7"/>
  <c r="S152" i="7"/>
  <c r="K152" i="7"/>
  <c r="D152" i="7"/>
  <c r="R156" i="7" l="1"/>
  <c r="C155" i="7"/>
  <c r="S153" i="7"/>
  <c r="K153" i="7"/>
  <c r="D153" i="7"/>
  <c r="R157" i="7" l="1"/>
  <c r="C156" i="7"/>
  <c r="S154" i="7"/>
  <c r="K154" i="7"/>
  <c r="D154" i="7"/>
  <c r="R158" i="7" l="1"/>
  <c r="C157" i="7"/>
  <c r="S155" i="7"/>
  <c r="K155" i="7"/>
  <c r="D155" i="7"/>
  <c r="R159" i="7" l="1"/>
  <c r="C158" i="7"/>
  <c r="S156" i="7"/>
  <c r="K156" i="7"/>
  <c r="D156" i="7"/>
  <c r="R160" i="7" l="1"/>
  <c r="C159" i="7"/>
  <c r="S157" i="7"/>
  <c r="K157" i="7"/>
  <c r="D157" i="7"/>
  <c r="R161" i="7" l="1"/>
  <c r="C160" i="7"/>
  <c r="S158" i="7"/>
  <c r="K158" i="7"/>
  <c r="D158" i="7"/>
  <c r="R162" i="7" l="1"/>
  <c r="C161" i="7"/>
  <c r="S159" i="7"/>
  <c r="K159" i="7"/>
  <c r="D159" i="7"/>
  <c r="R163" i="7" l="1"/>
  <c r="C162" i="7"/>
  <c r="S160" i="7"/>
  <c r="K160" i="7"/>
  <c r="D160" i="7"/>
  <c r="R164" i="7" l="1"/>
  <c r="C163" i="7"/>
  <c r="S161" i="7"/>
  <c r="K161" i="7"/>
  <c r="D161" i="7"/>
  <c r="R165" i="7" l="1"/>
  <c r="C164" i="7"/>
  <c r="S162" i="7"/>
  <c r="K162" i="7"/>
  <c r="D162" i="7"/>
  <c r="R166" i="7" l="1"/>
  <c r="C165" i="7"/>
  <c r="S163" i="7"/>
  <c r="K163" i="7"/>
  <c r="D163" i="7"/>
  <c r="R167" i="7" l="1"/>
  <c r="C166" i="7"/>
  <c r="S164" i="7"/>
  <c r="K164" i="7"/>
  <c r="D164" i="7"/>
  <c r="R168" i="7" l="1"/>
  <c r="C167" i="7"/>
  <c r="S165" i="7"/>
  <c r="K165" i="7"/>
  <c r="D165" i="7"/>
  <c r="R169" i="7" l="1"/>
  <c r="C168" i="7"/>
  <c r="S166" i="7"/>
  <c r="K166" i="7"/>
  <c r="D166" i="7"/>
  <c r="R170" i="7" l="1"/>
  <c r="C169" i="7"/>
  <c r="S167" i="7"/>
  <c r="K167" i="7"/>
  <c r="D167" i="7"/>
  <c r="R171" i="7" l="1"/>
  <c r="C170" i="7"/>
  <c r="S168" i="7"/>
  <c r="K168" i="7"/>
  <c r="D168" i="7"/>
  <c r="R172" i="7" l="1"/>
  <c r="C171" i="7"/>
  <c r="S169" i="7"/>
  <c r="K169" i="7"/>
  <c r="D169" i="7"/>
  <c r="R173" i="7" l="1"/>
  <c r="C172" i="7"/>
  <c r="S170" i="7"/>
  <c r="K170" i="7"/>
  <c r="D170" i="7"/>
  <c r="R174" i="7" l="1"/>
  <c r="C173" i="7"/>
  <c r="S171" i="7"/>
  <c r="K171" i="7"/>
  <c r="D171" i="7"/>
  <c r="R175" i="7" l="1"/>
  <c r="C174" i="7"/>
  <c r="S172" i="7"/>
  <c r="K172" i="7"/>
  <c r="D172" i="7"/>
  <c r="R176" i="7" l="1"/>
  <c r="C175" i="7"/>
  <c r="S173" i="7"/>
  <c r="K173" i="7"/>
  <c r="D173" i="7"/>
  <c r="R177" i="7" l="1"/>
  <c r="C176" i="7"/>
  <c r="S174" i="7"/>
  <c r="K174" i="7"/>
  <c r="D174" i="7"/>
  <c r="R178" i="7" l="1"/>
  <c r="C177" i="7"/>
  <c r="S175" i="7"/>
  <c r="K175" i="7"/>
  <c r="D175" i="7"/>
  <c r="R179" i="7" l="1"/>
  <c r="C178" i="7"/>
  <c r="S176" i="7"/>
  <c r="K176" i="7"/>
  <c r="D176" i="7"/>
  <c r="R180" i="7" l="1"/>
  <c r="C179" i="7"/>
  <c r="S177" i="7"/>
  <c r="K177" i="7"/>
  <c r="D177" i="7"/>
  <c r="R181" i="7" l="1"/>
  <c r="C180" i="7"/>
  <c r="S178" i="7"/>
  <c r="K178" i="7"/>
  <c r="D178" i="7"/>
  <c r="R182" i="7" l="1"/>
  <c r="C181" i="7"/>
  <c r="S179" i="7"/>
  <c r="K179" i="7"/>
  <c r="D179" i="7"/>
  <c r="R183" i="7" l="1"/>
  <c r="C182" i="7"/>
  <c r="S180" i="7"/>
  <c r="K180" i="7"/>
  <c r="D180" i="7"/>
  <c r="R184" i="7" l="1"/>
  <c r="C183" i="7"/>
  <c r="S181" i="7"/>
  <c r="K181" i="7"/>
  <c r="D181" i="7"/>
  <c r="R185" i="7" l="1"/>
  <c r="C184" i="7"/>
  <c r="S182" i="7"/>
  <c r="K182" i="7"/>
  <c r="D182" i="7"/>
  <c r="R186" i="7" l="1"/>
  <c r="C185" i="7"/>
  <c r="S183" i="7"/>
  <c r="K183" i="7"/>
  <c r="D183" i="7"/>
  <c r="R187" i="7" l="1"/>
  <c r="C186" i="7"/>
  <c r="S184" i="7"/>
  <c r="K184" i="7"/>
  <c r="D184" i="7"/>
  <c r="R188" i="7" l="1"/>
  <c r="C187" i="7"/>
  <c r="S185" i="7"/>
  <c r="K185" i="7"/>
  <c r="D185" i="7"/>
  <c r="R189" i="7" l="1"/>
  <c r="C188" i="7"/>
  <c r="S186" i="7"/>
  <c r="K186" i="7"/>
  <c r="D186" i="7"/>
  <c r="R190" i="7" l="1"/>
  <c r="C189" i="7"/>
  <c r="S187" i="7"/>
  <c r="K187" i="7"/>
  <c r="D187" i="7"/>
  <c r="R191" i="7" l="1"/>
  <c r="C190" i="7"/>
  <c r="S188" i="7"/>
  <c r="K188" i="7"/>
  <c r="D188" i="7"/>
  <c r="R192" i="7" l="1"/>
  <c r="C191" i="7"/>
  <c r="S189" i="7"/>
  <c r="K189" i="7"/>
  <c r="D189" i="7"/>
  <c r="R193" i="7" l="1"/>
  <c r="C192" i="7"/>
  <c r="S190" i="7"/>
  <c r="K190" i="7"/>
  <c r="D190" i="7"/>
  <c r="R194" i="7" l="1"/>
  <c r="C193" i="7"/>
  <c r="S191" i="7"/>
  <c r="K191" i="7"/>
  <c r="D191" i="7"/>
  <c r="R195" i="7" l="1"/>
  <c r="C194" i="7"/>
  <c r="S192" i="7"/>
  <c r="K192" i="7"/>
  <c r="D192" i="7"/>
  <c r="R196" i="7" l="1"/>
  <c r="C195" i="7"/>
  <c r="S193" i="7"/>
  <c r="K193" i="7"/>
  <c r="D193" i="7"/>
  <c r="R197" i="7" l="1"/>
  <c r="C196" i="7"/>
  <c r="S194" i="7"/>
  <c r="K194" i="7"/>
  <c r="D194" i="7"/>
  <c r="R198" i="7" l="1"/>
  <c r="C198" i="7" s="1"/>
  <c r="C197" i="7"/>
  <c r="S195" i="7"/>
  <c r="K195" i="7"/>
  <c r="D195" i="7"/>
  <c r="S196" i="7" l="1"/>
  <c r="K196" i="7"/>
  <c r="D196" i="7"/>
  <c r="S197" i="7" l="1"/>
  <c r="K197" i="7"/>
  <c r="D197" i="7"/>
  <c r="R199" i="7"/>
  <c r="C199" i="7" s="1"/>
  <c r="S198" i="7" l="1"/>
  <c r="K198" i="7"/>
  <c r="D198" i="7"/>
  <c r="K199" i="7"/>
  <c r="R200" i="7"/>
  <c r="R201" i="7" l="1"/>
  <c r="C200" i="7"/>
  <c r="K200" i="7" s="1"/>
  <c r="D199" i="7"/>
  <c r="S199" i="7"/>
  <c r="R202" i="7" l="1"/>
  <c r="C201" i="7"/>
  <c r="K201" i="7" s="1"/>
  <c r="D200" i="7"/>
  <c r="S200" i="7"/>
  <c r="R203" i="7" l="1"/>
  <c r="C202" i="7"/>
  <c r="K202" i="7" s="1"/>
  <c r="D201" i="7"/>
  <c r="S201" i="7"/>
  <c r="R204" i="7" l="1"/>
  <c r="C203" i="7"/>
  <c r="K203" i="7" s="1"/>
  <c r="D202" i="7"/>
  <c r="S202" i="7"/>
  <c r="R205" i="7" l="1"/>
  <c r="C204" i="7"/>
  <c r="K204" i="7" s="1"/>
  <c r="D203" i="7"/>
  <c r="S203" i="7"/>
  <c r="R206" i="7" l="1"/>
  <c r="C205" i="7"/>
  <c r="K205" i="7" s="1"/>
  <c r="D204" i="7"/>
  <c r="S204" i="7"/>
  <c r="R207" i="7" l="1"/>
  <c r="C206" i="7"/>
  <c r="K206" i="7" s="1"/>
  <c r="D205" i="7"/>
  <c r="S205" i="7"/>
  <c r="R208" i="7" l="1"/>
  <c r="C207" i="7"/>
  <c r="K207" i="7" s="1"/>
  <c r="D206" i="7"/>
  <c r="S206" i="7"/>
  <c r="R209" i="7" l="1"/>
  <c r="C208" i="7"/>
  <c r="K208" i="7" s="1"/>
  <c r="D207" i="7"/>
  <c r="S207" i="7"/>
  <c r="R210" i="7" l="1"/>
  <c r="C209" i="7"/>
  <c r="K209" i="7" s="1"/>
  <c r="D208" i="7"/>
  <c r="S208" i="7"/>
  <c r="R211" i="7" l="1"/>
  <c r="C210" i="7"/>
  <c r="K210" i="7" s="1"/>
  <c r="D209" i="7"/>
  <c r="S209" i="7"/>
  <c r="R212" i="7" l="1"/>
  <c r="C211" i="7"/>
  <c r="K211" i="7" s="1"/>
  <c r="D210" i="7"/>
  <c r="S210" i="7"/>
  <c r="R213" i="7" l="1"/>
  <c r="C212" i="7"/>
  <c r="K212" i="7" s="1"/>
  <c r="D211" i="7"/>
  <c r="S211" i="7"/>
  <c r="R214" i="7" l="1"/>
  <c r="C213" i="7"/>
  <c r="K213" i="7" s="1"/>
  <c r="D212" i="7"/>
  <c r="S212" i="7"/>
  <c r="R215" i="7" l="1"/>
  <c r="C214" i="7"/>
  <c r="K214" i="7" s="1"/>
  <c r="D213" i="7"/>
  <c r="S213" i="7"/>
  <c r="R216" i="7" l="1"/>
  <c r="C215" i="7"/>
  <c r="D214" i="7"/>
  <c r="S214" i="7"/>
  <c r="K215" i="7"/>
  <c r="R217" i="7" l="1"/>
  <c r="C216" i="7"/>
  <c r="K216" i="7" s="1"/>
  <c r="D215" i="7"/>
  <c r="S215" i="7"/>
  <c r="R218" i="7" l="1"/>
  <c r="C217" i="7"/>
  <c r="K217" i="7" s="1"/>
  <c r="D216" i="7"/>
  <c r="S216" i="7"/>
  <c r="R219" i="7" l="1"/>
  <c r="C218" i="7"/>
  <c r="K218" i="7" s="1"/>
  <c r="D217" i="7"/>
  <c r="S217" i="7"/>
  <c r="R220" i="7" l="1"/>
  <c r="C219" i="7"/>
  <c r="K219" i="7" s="1"/>
  <c r="D218" i="7"/>
  <c r="S218" i="7"/>
  <c r="R221" i="7" l="1"/>
  <c r="C220" i="7"/>
  <c r="K220" i="7" s="1"/>
  <c r="D219" i="7"/>
  <c r="S219" i="7"/>
  <c r="R222" i="7" l="1"/>
  <c r="C221" i="7"/>
  <c r="K221" i="7" s="1"/>
  <c r="D220" i="7"/>
  <c r="S220" i="7"/>
  <c r="R223" i="7" l="1"/>
  <c r="C222" i="7"/>
  <c r="K222" i="7" s="1"/>
  <c r="D221" i="7"/>
  <c r="S221" i="7"/>
  <c r="R224" i="7" l="1"/>
  <c r="C223" i="7"/>
  <c r="K223" i="7" s="1"/>
  <c r="D222" i="7"/>
  <c r="S222" i="7"/>
  <c r="R225" i="7" l="1"/>
  <c r="C224" i="7"/>
  <c r="K224" i="7" s="1"/>
  <c r="D223" i="7"/>
  <c r="S223" i="7"/>
  <c r="R226" i="7" l="1"/>
  <c r="R227" i="7" s="1"/>
  <c r="R228" i="7" s="1"/>
  <c r="R229" i="7" s="1"/>
  <c r="R230" i="7" s="1"/>
  <c r="R231" i="7" s="1"/>
  <c r="R232" i="7" s="1"/>
  <c r="R233" i="7" s="1"/>
  <c r="R234" i="7" s="1"/>
  <c r="R235" i="7" s="1"/>
  <c r="R236" i="7" s="1"/>
  <c r="R237" i="7" s="1"/>
  <c r="R238" i="7" s="1"/>
  <c r="R239" i="7" s="1"/>
  <c r="R240" i="7" s="1"/>
  <c r="R241" i="7" s="1"/>
  <c r="R242" i="7" s="1"/>
  <c r="R243" i="7" s="1"/>
  <c r="R244" i="7" s="1"/>
  <c r="R245" i="7" s="1"/>
  <c r="R246" i="7" s="1"/>
  <c r="R247" i="7" s="1"/>
  <c r="R248" i="7" s="1"/>
  <c r="R249" i="7" s="1"/>
  <c r="R250" i="7" s="1"/>
  <c r="R251" i="7" s="1"/>
  <c r="R252" i="7" s="1"/>
  <c r="R253" i="7" s="1"/>
  <c r="R254" i="7" s="1"/>
  <c r="R255" i="7" s="1"/>
  <c r="R256" i="7" s="1"/>
  <c r="R257" i="7" s="1"/>
  <c r="R258" i="7" s="1"/>
  <c r="R259" i="7" s="1"/>
  <c r="R260" i="7" s="1"/>
  <c r="R261" i="7" s="1"/>
  <c r="R262" i="7" s="1"/>
  <c r="R263" i="7" s="1"/>
  <c r="R264" i="7" s="1"/>
  <c r="R265" i="7" s="1"/>
  <c r="R266" i="7" s="1"/>
  <c r="R267" i="7" s="1"/>
  <c r="R268" i="7" s="1"/>
  <c r="R269" i="7" s="1"/>
  <c r="R270" i="7" s="1"/>
  <c r="R271" i="7" s="1"/>
  <c r="R272" i="7" s="1"/>
  <c r="R273" i="7" s="1"/>
  <c r="R274" i="7" s="1"/>
  <c r="R275" i="7" s="1"/>
  <c r="R276" i="7" s="1"/>
  <c r="R277" i="7" s="1"/>
  <c r="R278" i="7" s="1"/>
  <c r="R279" i="7" s="1"/>
  <c r="R280" i="7" s="1"/>
  <c r="R281" i="7" s="1"/>
  <c r="R282" i="7" s="1"/>
  <c r="R283" i="7" s="1"/>
  <c r="R284" i="7" s="1"/>
  <c r="R285" i="7" s="1"/>
  <c r="R286" i="7" s="1"/>
  <c r="R287" i="7" s="1"/>
  <c r="R288" i="7" s="1"/>
  <c r="R289" i="7" s="1"/>
  <c r="R290" i="7" s="1"/>
  <c r="R291" i="7" s="1"/>
  <c r="R292" i="7" s="1"/>
  <c r="R293" i="7" s="1"/>
  <c r="R294" i="7" s="1"/>
  <c r="R295" i="7" s="1"/>
  <c r="R296" i="7" s="1"/>
  <c r="R297" i="7" s="1"/>
  <c r="R298" i="7" s="1"/>
  <c r="R299" i="7" s="1"/>
  <c r="R300" i="7" s="1"/>
  <c r="R301" i="7" s="1"/>
  <c r="R302" i="7" s="1"/>
  <c r="R303" i="7" s="1"/>
  <c r="R304" i="7" s="1"/>
  <c r="R305" i="7" s="1"/>
  <c r="R306" i="7" s="1"/>
  <c r="R307" i="7" s="1"/>
  <c r="R308" i="7" s="1"/>
  <c r="R309" i="7" s="1"/>
  <c r="R310" i="7" s="1"/>
  <c r="R311" i="7" s="1"/>
  <c r="R312" i="7" s="1"/>
  <c r="R313" i="7" s="1"/>
  <c r="R314" i="7" s="1"/>
  <c r="R315" i="7" s="1"/>
  <c r="R316" i="7" s="1"/>
  <c r="R317" i="7" s="1"/>
  <c r="R318" i="7" s="1"/>
  <c r="R319" i="7" s="1"/>
  <c r="R320" i="7" s="1"/>
  <c r="R321" i="7" s="1"/>
  <c r="R322" i="7" s="1"/>
  <c r="R323" i="7" s="1"/>
  <c r="R324" i="7" s="1"/>
  <c r="R325" i="7" s="1"/>
  <c r="R326" i="7" s="1"/>
  <c r="R327" i="7" s="1"/>
  <c r="R328" i="7" s="1"/>
  <c r="R329" i="7" s="1"/>
  <c r="R330" i="7" s="1"/>
  <c r="R331" i="7" s="1"/>
  <c r="R332" i="7" s="1"/>
  <c r="R333" i="7" s="1"/>
  <c r="R334" i="7" s="1"/>
  <c r="R335" i="7" s="1"/>
  <c r="R336" i="7" s="1"/>
  <c r="R337" i="7" s="1"/>
  <c r="R338" i="7" s="1"/>
  <c r="R339" i="7" s="1"/>
  <c r="R340" i="7" s="1"/>
  <c r="R341" i="7" s="1"/>
  <c r="R342" i="7" s="1"/>
  <c r="R343" i="7" s="1"/>
  <c r="R344" i="7" s="1"/>
  <c r="R345" i="7" s="1"/>
  <c r="R346" i="7" s="1"/>
  <c r="R347" i="7" s="1"/>
  <c r="R348" i="7" s="1"/>
  <c r="R349" i="7" s="1"/>
  <c r="R350" i="7" s="1"/>
  <c r="R351" i="7" s="1"/>
  <c r="R352" i="7" s="1"/>
  <c r="R353" i="7" s="1"/>
  <c r="R354" i="7" s="1"/>
  <c r="R355" i="7" s="1"/>
  <c r="R356" i="7" s="1"/>
  <c r="R357" i="7" s="1"/>
  <c r="R358" i="7" s="1"/>
  <c r="R359" i="7" s="1"/>
  <c r="R360" i="7" s="1"/>
  <c r="R361" i="7" s="1"/>
  <c r="R362" i="7" s="1"/>
  <c r="R363" i="7" s="1"/>
  <c r="R364" i="7" s="1"/>
  <c r="R365" i="7" s="1"/>
  <c r="R366" i="7" s="1"/>
  <c r="R367" i="7" s="1"/>
  <c r="R368" i="7" s="1"/>
  <c r="R369" i="7" s="1"/>
  <c r="R370" i="7" s="1"/>
  <c r="R371" i="7" s="1"/>
  <c r="R372" i="7" s="1"/>
  <c r="R373" i="7" s="1"/>
  <c r="R374" i="7" s="1"/>
  <c r="R375" i="7" s="1"/>
  <c r="R376" i="7" s="1"/>
  <c r="R377" i="7" s="1"/>
  <c r="R378" i="7" s="1"/>
  <c r="C225" i="7"/>
  <c r="K225" i="7" s="1"/>
  <c r="D224" i="7"/>
  <c r="S224" i="7"/>
  <c r="R379" i="7" l="1"/>
  <c r="S378" i="7"/>
  <c r="C226" i="7"/>
  <c r="K226" i="7" s="1"/>
  <c r="D225" i="7"/>
  <c r="S225" i="7"/>
  <c r="D226" i="7" l="1"/>
  <c r="S226" i="7"/>
  <c r="C227" i="7" l="1"/>
  <c r="K227" i="7" l="1"/>
  <c r="D227" i="7"/>
  <c r="S227" i="7"/>
  <c r="C228" i="7"/>
  <c r="S228" i="7" l="1"/>
  <c r="K228" i="7"/>
  <c r="D228" i="7"/>
  <c r="C229" i="7"/>
  <c r="S229" i="7" l="1"/>
  <c r="K229" i="7"/>
  <c r="D229" i="7"/>
  <c r="C230" i="7"/>
  <c r="S230" i="7" l="1"/>
  <c r="K230" i="7"/>
  <c r="D230" i="7"/>
  <c r="C231" i="7"/>
  <c r="D231" i="7" l="1"/>
  <c r="K231" i="7"/>
  <c r="S231" i="7"/>
  <c r="C232" i="7"/>
  <c r="S232" i="7" l="1"/>
  <c r="K232" i="7"/>
  <c r="D232" i="7"/>
  <c r="C233" i="7"/>
  <c r="K233" i="7" l="1"/>
  <c r="S233" i="7"/>
  <c r="D233" i="7"/>
  <c r="C234" i="7"/>
  <c r="S234" i="7" l="1"/>
  <c r="K234" i="7"/>
  <c r="D234" i="7"/>
  <c r="C235" i="7"/>
  <c r="K235" i="7" l="1"/>
  <c r="S235" i="7"/>
  <c r="D235" i="7"/>
  <c r="C236" i="7"/>
  <c r="K236" i="7" l="1"/>
  <c r="S236" i="7"/>
  <c r="D236" i="7"/>
  <c r="C237" i="7"/>
  <c r="S237" i="7" l="1"/>
  <c r="K237" i="7"/>
  <c r="D237" i="7"/>
  <c r="C238" i="7"/>
  <c r="K238" i="7" l="1"/>
  <c r="S238" i="7"/>
  <c r="D238" i="7"/>
  <c r="C239" i="7"/>
  <c r="S239" i="7" l="1"/>
  <c r="K239" i="7"/>
  <c r="D239" i="7"/>
  <c r="C240" i="7"/>
  <c r="S240" i="7" l="1"/>
  <c r="K240" i="7"/>
  <c r="D240" i="7"/>
  <c r="C241" i="7"/>
  <c r="D241" i="7" l="1"/>
  <c r="K241" i="7"/>
  <c r="S241" i="7"/>
  <c r="C242" i="7"/>
  <c r="D242" i="7" l="1"/>
  <c r="S242" i="7"/>
  <c r="K242" i="7"/>
  <c r="C243" i="7"/>
  <c r="S243" i="7" l="1"/>
  <c r="K243" i="7"/>
  <c r="D243" i="7"/>
  <c r="C244" i="7"/>
  <c r="S244" i="7" l="1"/>
  <c r="K244" i="7"/>
  <c r="D244" i="7"/>
  <c r="C245" i="7"/>
  <c r="D245" i="7" l="1"/>
  <c r="S245" i="7"/>
  <c r="K245" i="7"/>
  <c r="C246" i="7"/>
  <c r="S246" i="7" l="1"/>
  <c r="K246" i="7"/>
  <c r="D246" i="7"/>
  <c r="C247" i="7"/>
  <c r="K247" i="7" l="1"/>
  <c r="S247" i="7"/>
  <c r="D247" i="7"/>
  <c r="C248" i="7"/>
  <c r="S248" i="7" l="1"/>
  <c r="K248" i="7"/>
  <c r="D248" i="7"/>
  <c r="C249" i="7"/>
  <c r="K249" i="7" l="1"/>
  <c r="S249" i="7"/>
  <c r="D249" i="7"/>
  <c r="C250" i="7"/>
  <c r="K250" i="7" l="1"/>
  <c r="S250" i="7"/>
  <c r="D250" i="7"/>
  <c r="C251" i="7"/>
  <c r="S251" i="7" l="1"/>
  <c r="K251" i="7"/>
  <c r="D251" i="7"/>
  <c r="C252" i="7"/>
  <c r="K252" i="7" l="1"/>
  <c r="S252" i="7"/>
  <c r="D252" i="7"/>
  <c r="C253" i="7"/>
  <c r="S253" i="7" l="1"/>
  <c r="K253" i="7"/>
  <c r="D253" i="7"/>
  <c r="C254" i="7"/>
  <c r="S254" i="7" l="1"/>
  <c r="K254" i="7"/>
  <c r="D254" i="7"/>
  <c r="C255" i="7"/>
  <c r="K255" i="7" l="1"/>
  <c r="S255" i="7"/>
  <c r="D255" i="7"/>
  <c r="C256" i="7"/>
  <c r="S256" i="7" l="1"/>
  <c r="K256" i="7"/>
  <c r="D256" i="7"/>
  <c r="C257" i="7"/>
  <c r="S257" i="7" l="1"/>
  <c r="K257" i="7"/>
  <c r="D257" i="7"/>
  <c r="C258" i="7"/>
  <c r="K258" i="7" l="1"/>
  <c r="S258" i="7"/>
  <c r="D258" i="7"/>
  <c r="C259" i="7"/>
  <c r="S259" i="7" l="1"/>
  <c r="K259" i="7"/>
  <c r="D259" i="7"/>
  <c r="C260" i="7"/>
  <c r="K260" i="7" l="1"/>
  <c r="S260" i="7"/>
  <c r="D260" i="7"/>
  <c r="C261" i="7"/>
  <c r="K261" i="7" l="1"/>
  <c r="S261" i="7"/>
  <c r="D261" i="7"/>
  <c r="C262" i="7"/>
  <c r="S262" i="7" l="1"/>
  <c r="K262" i="7"/>
  <c r="D262" i="7"/>
  <c r="C263" i="7"/>
  <c r="D263" i="7" l="1"/>
  <c r="K263" i="7"/>
  <c r="S263" i="7"/>
  <c r="C264" i="7"/>
  <c r="S264" i="7" l="1"/>
  <c r="K264" i="7"/>
  <c r="D264" i="7"/>
  <c r="C265" i="7"/>
  <c r="K265" i="7" l="1"/>
  <c r="S265" i="7"/>
  <c r="D265" i="7"/>
  <c r="C266" i="7"/>
  <c r="K266" i="7" l="1"/>
  <c r="S266" i="7"/>
  <c r="D266" i="7"/>
  <c r="C267" i="7"/>
  <c r="S267" i="7" l="1"/>
  <c r="K267" i="7"/>
  <c r="D267" i="7"/>
  <c r="C268" i="7"/>
  <c r="S268" i="7" l="1"/>
  <c r="K268" i="7"/>
  <c r="D268" i="7"/>
  <c r="C269" i="7"/>
  <c r="K269" i="7" l="1"/>
  <c r="S269" i="7"/>
  <c r="D269" i="7"/>
  <c r="C270" i="7"/>
  <c r="S270" i="7" l="1"/>
  <c r="K270" i="7"/>
  <c r="D270" i="7"/>
  <c r="C271" i="7"/>
  <c r="K271" i="7" l="1"/>
  <c r="S271" i="7"/>
  <c r="D271" i="7"/>
  <c r="C272" i="7"/>
  <c r="K272" i="7" l="1"/>
  <c r="S272" i="7"/>
  <c r="D272" i="7"/>
  <c r="C273" i="7"/>
  <c r="S273" i="7" l="1"/>
  <c r="K273" i="7"/>
  <c r="D273" i="7"/>
  <c r="C274" i="7"/>
  <c r="K274" i="7" l="1"/>
  <c r="S274" i="7"/>
  <c r="D274" i="7"/>
  <c r="C275" i="7"/>
  <c r="K275" i="7" l="1"/>
  <c r="S275" i="7"/>
  <c r="D275" i="7"/>
  <c r="C276" i="7"/>
  <c r="S276" i="7" l="1"/>
  <c r="K276" i="7"/>
  <c r="D276" i="7"/>
  <c r="C277" i="7"/>
  <c r="K277" i="7" l="1"/>
  <c r="S277" i="7"/>
  <c r="D277" i="7"/>
  <c r="C278" i="7"/>
  <c r="D278" i="7" l="1"/>
  <c r="S278" i="7"/>
  <c r="K278" i="7"/>
  <c r="C279" i="7"/>
  <c r="S279" i="7" l="1"/>
  <c r="K279" i="7"/>
  <c r="D279" i="7"/>
  <c r="C280" i="7"/>
  <c r="D280" i="7" l="1"/>
  <c r="K280" i="7"/>
  <c r="S280" i="7"/>
  <c r="C281" i="7"/>
  <c r="S281" i="7" l="1"/>
  <c r="K281" i="7"/>
  <c r="D281" i="7"/>
  <c r="C282" i="7"/>
  <c r="S282" i="7" l="1"/>
  <c r="K282" i="7"/>
  <c r="D282" i="7"/>
  <c r="C283" i="7"/>
  <c r="K283" i="7" l="1"/>
  <c r="S283" i="7"/>
  <c r="D283" i="7"/>
  <c r="C284" i="7"/>
  <c r="D284" i="7" l="1"/>
  <c r="S284" i="7"/>
  <c r="K284" i="7"/>
  <c r="C285" i="7"/>
  <c r="S285" i="7" l="1"/>
  <c r="K285" i="7"/>
  <c r="D285" i="7"/>
  <c r="C286" i="7"/>
  <c r="K286" i="7" l="1"/>
  <c r="S286" i="7"/>
  <c r="D286" i="7"/>
  <c r="C287" i="7"/>
  <c r="S287" i="7" l="1"/>
  <c r="K287" i="7"/>
  <c r="D287" i="7"/>
  <c r="C288" i="7"/>
  <c r="K288" i="7" l="1"/>
  <c r="S288" i="7"/>
  <c r="D288" i="7"/>
  <c r="C289" i="7"/>
  <c r="K289" i="7" l="1"/>
  <c r="S289" i="7"/>
  <c r="D289" i="7"/>
  <c r="C290" i="7"/>
  <c r="S290" i="7" l="1"/>
  <c r="K290" i="7"/>
  <c r="D290" i="7"/>
  <c r="C291" i="7"/>
  <c r="K291" i="7" l="1"/>
  <c r="S291" i="7"/>
  <c r="D291" i="7"/>
  <c r="C292" i="7"/>
  <c r="D292" i="7" l="1"/>
  <c r="K292" i="7"/>
  <c r="S292" i="7"/>
  <c r="C293" i="7"/>
  <c r="S293" i="7" l="1"/>
  <c r="K293" i="7"/>
  <c r="D293" i="7"/>
  <c r="C294" i="7"/>
  <c r="D294" i="7" l="1"/>
  <c r="K294" i="7"/>
  <c r="S294" i="7"/>
  <c r="C295" i="7"/>
  <c r="S295" i="7" l="1"/>
  <c r="K295" i="7"/>
  <c r="D295" i="7"/>
  <c r="C296" i="7"/>
  <c r="S296" i="7" l="1"/>
  <c r="K296" i="7"/>
  <c r="D296" i="7"/>
  <c r="C297" i="7"/>
  <c r="K297" i="7" l="1"/>
  <c r="S297" i="7"/>
  <c r="D297" i="7"/>
  <c r="C298" i="7"/>
  <c r="S298" i="7" l="1"/>
  <c r="K298" i="7"/>
  <c r="D298" i="7"/>
  <c r="C299" i="7"/>
  <c r="S299" i="7" l="1"/>
  <c r="K299" i="7"/>
  <c r="D299" i="7"/>
  <c r="C300" i="7"/>
  <c r="K300" i="7" l="1"/>
  <c r="S300" i="7"/>
  <c r="D300" i="7"/>
  <c r="C301" i="7"/>
  <c r="S301" i="7" l="1"/>
  <c r="K301" i="7"/>
  <c r="D301" i="7"/>
  <c r="C302" i="7"/>
  <c r="K302" i="7" l="1"/>
  <c r="S302" i="7"/>
  <c r="D302" i="7"/>
  <c r="C303" i="7"/>
  <c r="K303" i="7" l="1"/>
  <c r="S303" i="7"/>
  <c r="D303" i="7"/>
  <c r="C304" i="7"/>
  <c r="S304" i="7" l="1"/>
  <c r="K304" i="7"/>
  <c r="D304" i="7"/>
  <c r="C305" i="7"/>
  <c r="K305" i="7" l="1"/>
  <c r="S305" i="7"/>
  <c r="D305" i="7"/>
  <c r="C306" i="7"/>
  <c r="K306" i="7" l="1"/>
  <c r="S306" i="7"/>
  <c r="D306" i="7"/>
  <c r="C307" i="7"/>
  <c r="S307" i="7" l="1"/>
  <c r="K307" i="7"/>
  <c r="D307" i="7"/>
  <c r="C308" i="7"/>
  <c r="K308" i="7" l="1"/>
  <c r="S308" i="7"/>
  <c r="D308" i="7"/>
  <c r="C309" i="7"/>
  <c r="S309" i="7" l="1"/>
  <c r="K309" i="7"/>
  <c r="D309" i="7"/>
  <c r="C310" i="7"/>
  <c r="S310" i="7" l="1"/>
  <c r="K310" i="7"/>
  <c r="D310" i="7"/>
  <c r="C311" i="7"/>
  <c r="K311" i="7" l="1"/>
  <c r="S311" i="7"/>
  <c r="D311" i="7"/>
  <c r="C312" i="7"/>
  <c r="S312" i="7" l="1"/>
  <c r="K312" i="7"/>
  <c r="D312" i="7"/>
  <c r="C313" i="7"/>
  <c r="K313" i="7" l="1"/>
  <c r="S313" i="7"/>
  <c r="D313" i="7"/>
  <c r="C314" i="7"/>
  <c r="K314" i="7" l="1"/>
  <c r="S314" i="7"/>
  <c r="D314" i="7"/>
  <c r="C315" i="7"/>
  <c r="S315" i="7" l="1"/>
  <c r="K315" i="7"/>
  <c r="D315" i="7"/>
  <c r="C316" i="7"/>
  <c r="K316" i="7" l="1"/>
  <c r="S316" i="7"/>
  <c r="D316" i="7"/>
  <c r="C317" i="7"/>
  <c r="K317" i="7" l="1"/>
  <c r="S317" i="7"/>
  <c r="D317" i="7"/>
  <c r="C318" i="7"/>
  <c r="S318" i="7" l="1"/>
  <c r="K318" i="7"/>
  <c r="D318" i="7"/>
  <c r="C319" i="7"/>
  <c r="K319" i="7" l="1"/>
  <c r="S319" i="7"/>
  <c r="D319" i="7"/>
  <c r="C320" i="7"/>
  <c r="S320" i="7" l="1"/>
  <c r="K320" i="7"/>
  <c r="D320" i="7"/>
  <c r="C321" i="7"/>
  <c r="S321" i="7" l="1"/>
  <c r="K321" i="7"/>
  <c r="D321" i="7"/>
  <c r="C322" i="7"/>
  <c r="K322" i="7" l="1"/>
  <c r="S322" i="7"/>
  <c r="D322" i="7"/>
  <c r="C323" i="7"/>
  <c r="S323" i="7" l="1"/>
  <c r="K323" i="7"/>
  <c r="D323" i="7"/>
  <c r="C324" i="7"/>
  <c r="S324" i="7" l="1"/>
  <c r="K324" i="7"/>
  <c r="D324" i="7"/>
  <c r="C325" i="7"/>
  <c r="K325" i="7" l="1"/>
  <c r="S325" i="7"/>
  <c r="D325" i="7"/>
  <c r="C326" i="7"/>
  <c r="S326" i="7" l="1"/>
  <c r="K326" i="7"/>
  <c r="D326" i="7"/>
  <c r="C327" i="7"/>
  <c r="K327" i="7" l="1"/>
  <c r="S327" i="7"/>
  <c r="D327" i="7"/>
  <c r="C328" i="7"/>
  <c r="K328" i="7" l="1"/>
  <c r="S328" i="7"/>
  <c r="D328" i="7"/>
  <c r="C329" i="7"/>
  <c r="S329" i="7" l="1"/>
  <c r="K329" i="7"/>
  <c r="D329" i="7"/>
  <c r="C330" i="7"/>
  <c r="K330" i="7" l="1"/>
  <c r="S330" i="7"/>
  <c r="D330" i="7"/>
  <c r="C331" i="7"/>
  <c r="K331" i="7" l="1"/>
  <c r="S331" i="7"/>
  <c r="D331" i="7"/>
  <c r="C332" i="7"/>
  <c r="S332" i="7" l="1"/>
  <c r="K332" i="7"/>
  <c r="D332" i="7"/>
  <c r="C333" i="7"/>
  <c r="K333" i="7" l="1"/>
  <c r="S333" i="7"/>
  <c r="D333" i="7"/>
  <c r="C334" i="7"/>
  <c r="K334" i="7" l="1"/>
  <c r="S334" i="7"/>
  <c r="D334" i="7"/>
  <c r="C335" i="7"/>
  <c r="S335" i="7" l="1"/>
  <c r="K335" i="7"/>
  <c r="D335" i="7"/>
  <c r="C336" i="7"/>
  <c r="K336" i="7" l="1"/>
  <c r="S336" i="7"/>
  <c r="D336" i="7"/>
  <c r="C337" i="7"/>
  <c r="S337" i="7" l="1"/>
  <c r="K337" i="7"/>
  <c r="D337" i="7"/>
  <c r="C338" i="7"/>
  <c r="S338" i="7" l="1"/>
  <c r="K338" i="7"/>
  <c r="D338" i="7"/>
  <c r="C339" i="7"/>
  <c r="K339" i="7" l="1"/>
  <c r="S339" i="7"/>
  <c r="D339" i="7"/>
  <c r="C340" i="7"/>
  <c r="S340" i="7" l="1"/>
  <c r="K340" i="7"/>
  <c r="D340" i="7"/>
  <c r="C341" i="7"/>
  <c r="S341" i="7" l="1"/>
  <c r="K341" i="7"/>
  <c r="D341" i="7"/>
  <c r="C342" i="7"/>
  <c r="D342" i="7" l="1"/>
  <c r="K342" i="7"/>
  <c r="S342" i="7"/>
  <c r="C343" i="7"/>
  <c r="S343" i="7" l="1"/>
  <c r="K343" i="7"/>
  <c r="D343" i="7"/>
  <c r="C344" i="7"/>
  <c r="K344" i="7" l="1"/>
  <c r="S344" i="7"/>
  <c r="D344" i="7"/>
  <c r="C345" i="7"/>
  <c r="K345" i="7" l="1"/>
  <c r="S345" i="7"/>
  <c r="D345" i="7"/>
  <c r="C346" i="7"/>
  <c r="S346" i="7" l="1"/>
  <c r="K346" i="7"/>
  <c r="D346" i="7"/>
  <c r="C347" i="7"/>
  <c r="K347" i="7" l="1"/>
  <c r="S347" i="7"/>
  <c r="D347" i="7"/>
  <c r="C348" i="7"/>
  <c r="K348" i="7" l="1"/>
  <c r="S348" i="7"/>
  <c r="D348" i="7"/>
  <c r="C349" i="7"/>
  <c r="S349" i="7" l="1"/>
  <c r="K349" i="7"/>
  <c r="D349" i="7"/>
  <c r="C350" i="7"/>
  <c r="K350" i="7" l="1"/>
  <c r="S350" i="7"/>
  <c r="D350" i="7"/>
  <c r="C351" i="7"/>
  <c r="S351" i="7" l="1"/>
  <c r="K351" i="7"/>
  <c r="D351" i="7"/>
  <c r="C352" i="7"/>
  <c r="D352" i="7" l="1"/>
  <c r="S352" i="7"/>
  <c r="K352" i="7"/>
  <c r="C353" i="7"/>
  <c r="D353" i="7" s="1"/>
  <c r="K353" i="7" l="1"/>
  <c r="S353" i="7"/>
  <c r="C354" i="7"/>
  <c r="S354" i="7" l="1"/>
  <c r="K354" i="7"/>
  <c r="D354" i="7"/>
  <c r="C355" i="7"/>
  <c r="S355" i="7" l="1"/>
  <c r="K355" i="7"/>
  <c r="D355" i="7"/>
  <c r="C356" i="7"/>
  <c r="K356" i="7" l="1"/>
  <c r="S356" i="7"/>
  <c r="D356" i="7"/>
  <c r="C357" i="7"/>
  <c r="S357" i="7" l="1"/>
  <c r="K357" i="7"/>
  <c r="D357" i="7"/>
  <c r="C358" i="7"/>
  <c r="K358" i="7" l="1"/>
  <c r="S358" i="7"/>
  <c r="D358" i="7"/>
  <c r="C359" i="7"/>
  <c r="K359" i="7" l="1"/>
  <c r="S359" i="7"/>
  <c r="D359" i="7"/>
  <c r="C360" i="7"/>
  <c r="S360" i="7" l="1"/>
  <c r="K360" i="7"/>
  <c r="D360" i="7"/>
  <c r="C361" i="7"/>
  <c r="K361" i="7" l="1"/>
  <c r="S361" i="7"/>
  <c r="D361" i="7"/>
  <c r="C362" i="7"/>
  <c r="S362" i="7" l="1"/>
  <c r="K362" i="7"/>
  <c r="D362" i="7"/>
  <c r="C363" i="7"/>
  <c r="S363" i="7" l="1"/>
  <c r="K363" i="7"/>
  <c r="D363" i="7"/>
  <c r="C364" i="7"/>
  <c r="K364" i="7" l="1"/>
  <c r="S364" i="7"/>
  <c r="D364" i="7"/>
  <c r="C365" i="7"/>
  <c r="J385" i="7"/>
  <c r="S365" i="7" l="1"/>
  <c r="K365" i="7"/>
  <c r="D365" i="7"/>
  <c r="C366" i="7"/>
  <c r="J384" i="7"/>
  <c r="S366" i="7" l="1"/>
  <c r="K366" i="7"/>
  <c r="D366" i="7"/>
  <c r="C367" i="7"/>
  <c r="K367" i="7" l="1"/>
  <c r="S367" i="7"/>
  <c r="D367" i="7"/>
  <c r="C368" i="7"/>
  <c r="S368" i="7" l="1"/>
  <c r="K368" i="7"/>
  <c r="D368" i="7"/>
  <c r="C369" i="7"/>
  <c r="S369" i="7" l="1"/>
  <c r="K369" i="7"/>
  <c r="D369" i="7"/>
  <c r="C370" i="7"/>
  <c r="K370" i="7" l="1"/>
  <c r="S370" i="7"/>
  <c r="D370" i="7"/>
  <c r="C371" i="7"/>
  <c r="S371" i="7" l="1"/>
  <c r="K371" i="7"/>
  <c r="D371" i="7"/>
  <c r="C372" i="7"/>
  <c r="K372" i="7" l="1"/>
  <c r="S372" i="7"/>
  <c r="D372" i="7"/>
  <c r="C373" i="7"/>
  <c r="K373" i="7" l="1"/>
  <c r="S373" i="7"/>
  <c r="D373" i="7"/>
  <c r="C374" i="7"/>
  <c r="S374" i="7" l="1"/>
  <c r="K374" i="7"/>
  <c r="D374" i="7"/>
  <c r="C375" i="7"/>
  <c r="K375" i="7" l="1"/>
  <c r="S375" i="7"/>
  <c r="D375" i="7"/>
  <c r="C376" i="7"/>
  <c r="K376" i="7" l="1"/>
  <c r="S376" i="7"/>
  <c r="D376" i="7"/>
  <c r="C379" i="7"/>
  <c r="C377" i="7"/>
  <c r="S377" i="7" l="1"/>
  <c r="K377" i="7"/>
  <c r="S379" i="7"/>
  <c r="K379" i="7"/>
  <c r="D377" i="7"/>
  <c r="D378" i="7" s="1"/>
  <c r="D379" i="7" s="1"/>
  <c r="D380" i="7" s="1"/>
  <c r="C15" i="9"/>
  <c r="R385" i="7"/>
  <c r="D395" i="7" s="1"/>
  <c r="C14" i="9"/>
  <c r="F391" i="7"/>
  <c r="F392" i="7" s="1"/>
  <c r="R384" i="7"/>
  <c r="S381" i="7" l="1"/>
  <c r="K381" i="7"/>
  <c r="K382" i="7" a="1"/>
  <c r="K382" i="7" s="1"/>
  <c r="D389" i="7" s="1"/>
  <c r="S382" i="7" a="1"/>
  <c r="S382" i="7" s="1"/>
  <c r="D390" i="7" s="1"/>
  <c r="G29" i="8" s="1"/>
  <c r="D397" i="7" l="1"/>
  <c r="G28" i="8"/>
  <c r="H43" i="8" s="1"/>
  <c r="D391" i="7"/>
  <c r="B74" i="9" l="1"/>
  <c r="F108" i="8" s="1"/>
  <c r="K390" i="7"/>
  <c r="G30" i="8"/>
  <c r="H44" i="8" s="1"/>
  <c r="D392" i="7"/>
  <c r="C406" i="7" l="1"/>
  <c r="E406" i="7" s="1"/>
  <c r="F110" i="8" s="1"/>
  <c r="D411" i="7"/>
  <c r="C400" i="7"/>
  <c r="C408" i="7"/>
  <c r="E408" i="7" s="1"/>
  <c r="F112" i="8" s="1"/>
  <c r="D400" i="7"/>
  <c r="D404" i="7"/>
  <c r="D408" i="7"/>
  <c r="C411" i="7"/>
  <c r="E411" i="7" s="1"/>
  <c r="C403" i="7"/>
  <c r="E403" i="7" s="1"/>
  <c r="C112" i="8" s="1"/>
  <c r="C402" i="7"/>
  <c r="E402" i="7" s="1"/>
  <c r="C111" i="8" s="1"/>
  <c r="D406" i="7"/>
  <c r="C407" i="7"/>
  <c r="E407" i="7" s="1"/>
  <c r="F111" i="8" s="1"/>
  <c r="D401" i="7"/>
  <c r="C405" i="7"/>
  <c r="E405" i="7" s="1"/>
  <c r="F109" i="8" s="1"/>
  <c r="C410" i="7"/>
  <c r="E410" i="7" s="1"/>
  <c r="D405" i="7"/>
  <c r="D409" i="7"/>
  <c r="D403" i="7"/>
  <c r="C401" i="7"/>
  <c r="E401" i="7" s="1"/>
  <c r="C110" i="8" s="1"/>
  <c r="C404" i="7"/>
  <c r="E404" i="7" s="1"/>
  <c r="C113" i="8" s="1"/>
  <c r="D402" i="7"/>
  <c r="B73" i="9"/>
  <c r="C108" i="8" s="1"/>
  <c r="D407" i="7"/>
  <c r="D410" i="7"/>
  <c r="C409" i="7"/>
  <c r="E409" i="7" s="1"/>
  <c r="F113" i="8" s="1"/>
  <c r="C109" i="8"/>
  <c r="B37" i="9"/>
  <c r="B39" i="9" s="1"/>
  <c r="D394" i="7"/>
  <c r="I44" i="8"/>
  <c r="A118" i="5" l="1"/>
  <c r="A110" i="5"/>
  <c r="A114" i="5"/>
  <c r="A120" i="5"/>
  <c r="A117" i="5"/>
  <c r="A113" i="5"/>
  <c r="A119" i="5"/>
  <c r="A116" i="5"/>
  <c r="A97" i="5"/>
  <c r="A115" i="5"/>
  <c r="A112" i="5"/>
  <c r="A111" i="5"/>
  <c r="E400" i="7"/>
  <c r="B76" i="9" s="1"/>
  <c r="B75" i="9" s="1"/>
  <c r="C12" i="9"/>
  <c r="A109" i="5" l="1"/>
  <c r="B77" i="9"/>
  <c r="B80" i="9" s="1"/>
  <c r="A106" i="8" s="1"/>
  <c r="D85" i="5"/>
  <c r="D10" i="9"/>
  <c r="E88" i="5" s="1"/>
  <c r="A32" i="8" l="1"/>
  <c r="M80" i="4"/>
  <c r="N80" i="4"/>
  <c r="L80" i="4"/>
  <c r="K80" i="4"/>
  <c r="K84" i="4" l="1"/>
  <c r="K103" i="4" s="1"/>
  <c r="K83" i="4"/>
  <c r="L84" i="4"/>
  <c r="L103" i="4" s="1"/>
  <c r="E13" i="13"/>
  <c r="N100" i="4"/>
  <c r="C13" i="13"/>
  <c r="L100" i="4"/>
  <c r="M100" i="4"/>
  <c r="D13" i="13"/>
  <c r="M84" i="4"/>
  <c r="N84" i="4"/>
  <c r="B14" i="13" l="1"/>
  <c r="C14" i="13"/>
  <c r="L106" i="4"/>
  <c r="C15" i="13" s="1"/>
  <c r="E14" i="13"/>
  <c r="N103" i="4"/>
  <c r="N106" i="4" s="1"/>
  <c r="E15" i="13" s="1"/>
  <c r="D14" i="13"/>
  <c r="M103" i="4"/>
  <c r="M106" i="4" s="1"/>
  <c r="D15" i="13" s="1"/>
  <c r="B13" i="13"/>
  <c r="K100" i="4"/>
  <c r="K106" i="4" s="1"/>
  <c r="B15" i="13" s="1"/>
  <c r="A16" i="12" l="1"/>
</calcChain>
</file>

<file path=xl/sharedStrings.xml><?xml version="1.0" encoding="utf-8"?>
<sst xmlns="http://schemas.openxmlformats.org/spreadsheetml/2006/main" count="630" uniqueCount="380">
  <si>
    <t>Name of Fund</t>
  </si>
  <si>
    <t>Date of Birth</t>
  </si>
  <si>
    <t>Minimum PVF</t>
  </si>
  <si>
    <t>Maximum PVF</t>
  </si>
  <si>
    <t>Background Calculations</t>
  </si>
  <si>
    <t>Number of days in first year</t>
  </si>
  <si>
    <t>Number of Days in Year</t>
  </si>
  <si>
    <t>Date of start of Financial Year</t>
  </si>
  <si>
    <t>Date of end of Financial Year</t>
  </si>
  <si>
    <t>Age</t>
  </si>
  <si>
    <t>Maximum</t>
  </si>
  <si>
    <t>Minimum</t>
  </si>
  <si>
    <t>Term Allocated Pension - Payment Factors</t>
  </si>
  <si>
    <t>Term Remaining</t>
  </si>
  <si>
    <t>Payment Factor</t>
  </si>
  <si>
    <t>Pension Valuation Table as at 1/1/06</t>
  </si>
  <si>
    <t>AP</t>
  </si>
  <si>
    <t>Account 1</t>
  </si>
  <si>
    <t>Account 2</t>
  </si>
  <si>
    <t>Account 3</t>
  </si>
  <si>
    <t>Account 4</t>
  </si>
  <si>
    <t>SEGREGATED ASSET PROPORTIONS</t>
  </si>
  <si>
    <t>FUND:</t>
  </si>
  <si>
    <t>BALANCE DATE</t>
  </si>
  <si>
    <t>Days</t>
  </si>
  <si>
    <t>NAME</t>
  </si>
  <si>
    <t>DATE</t>
  </si>
  <si>
    <t>dd/mm/yy</t>
  </si>
  <si>
    <t>TRANSACTIONS</t>
  </si>
  <si>
    <t>AVERAGE PENSION ASSETS</t>
  </si>
  <si>
    <t>AVERAGE SUPER ASSETS</t>
  </si>
  <si>
    <t>AVERAGE TOTAL ASSETS</t>
  </si>
  <si>
    <t>PROPORTION</t>
  </si>
  <si>
    <t>%</t>
  </si>
  <si>
    <t>TOTAL START OF YEAR ASSETS</t>
  </si>
  <si>
    <t>TOTAL END (WEIGHTED)</t>
  </si>
  <si>
    <t>Input Parameters</t>
  </si>
  <si>
    <t>Unsegregated pension liabilities</t>
  </si>
  <si>
    <t>Unsegregated non pension liabilities</t>
  </si>
  <si>
    <t>Unsegregated superannuation liabilities</t>
  </si>
  <si>
    <t>ACTUARIAL CERTIFICATE</t>
  </si>
  <si>
    <t>Paul B. Anderson</t>
  </si>
  <si>
    <t>Fellow of the Institute of Actuaries of Australia</t>
  </si>
  <si>
    <t>Certificate Date</t>
  </si>
  <si>
    <t>PBA</t>
  </si>
  <si>
    <t>Super Pty Ltd</t>
  </si>
  <si>
    <t>Pensioners</t>
  </si>
  <si>
    <t>PBA Super Pty Ltd ABN 14 130 493 695</t>
  </si>
  <si>
    <t>Y</t>
  </si>
  <si>
    <t>Comment</t>
  </si>
  <si>
    <t>PO Box 34, Clifton Hill, Victoria  3068</t>
  </si>
  <si>
    <t>Account Based Pension</t>
  </si>
  <si>
    <t>Start Bal Est</t>
  </si>
  <si>
    <t>FOR</t>
  </si>
  <si>
    <t>Firm Name</t>
  </si>
  <si>
    <t>Postal Address</t>
  </si>
  <si>
    <t>Town / Suburb</t>
  </si>
  <si>
    <t>Postcode</t>
  </si>
  <si>
    <t>Actual AP for the year</t>
  </si>
  <si>
    <t>Actual ABP for the year</t>
  </si>
  <si>
    <t>Other</t>
  </si>
  <si>
    <t>Description</t>
  </si>
  <si>
    <t>Member Name</t>
  </si>
  <si>
    <t>Transition to Retirement (Yes / No)</t>
  </si>
  <si>
    <t xml:space="preserve">    Contributions</t>
  </si>
  <si>
    <t xml:space="preserve">    Other</t>
  </si>
  <si>
    <t xml:space="preserve">    Pension Payments</t>
  </si>
  <si>
    <t>Member 1</t>
  </si>
  <si>
    <t>Member 2</t>
  </si>
  <si>
    <t>Member 3</t>
  </si>
  <si>
    <t>Member 4</t>
  </si>
  <si>
    <t>Only 1 column per member</t>
  </si>
  <si>
    <t>Calculated Minimum ABP</t>
  </si>
  <si>
    <t>Calculated Maximum ABP</t>
  </si>
  <si>
    <t xml:space="preserve">    Trustee 1</t>
  </si>
  <si>
    <t xml:space="preserve">    Trustee 2</t>
  </si>
  <si>
    <t xml:space="preserve">    Trustee 3 (if applicable)</t>
  </si>
  <si>
    <t xml:space="preserve">    Trustee 4 (if applicable)</t>
  </si>
  <si>
    <t>Certificate Calculations</t>
  </si>
  <si>
    <t>Total</t>
  </si>
  <si>
    <t>PBA SUPER PTY LTD</t>
  </si>
  <si>
    <t>GENERAL INFORMATION</t>
  </si>
  <si>
    <t>Please attach the most recent actuarial certificate if prepared by another actuary.</t>
  </si>
  <si>
    <t>Contact Person</t>
  </si>
  <si>
    <t>Section B - Fund Details</t>
  </si>
  <si>
    <t>Calculation Sheet</t>
  </si>
  <si>
    <t>Corporate Trustee Test</t>
  </si>
  <si>
    <t>For Certificate</t>
  </si>
  <si>
    <t>Trustee</t>
  </si>
  <si>
    <t>&lt;put "s" for individual trustees&gt;</t>
  </si>
  <si>
    <t>Name of Corporate Trustee (if applicable)</t>
  </si>
  <si>
    <t>Contact Details</t>
  </si>
  <si>
    <t>&lt;put date certificate produced&gt;</t>
  </si>
  <si>
    <t>&lt;put "s" in more that one pensioner&gt;</t>
  </si>
  <si>
    <t>Reserve</t>
  </si>
  <si>
    <t>Pensioner Name</t>
  </si>
  <si>
    <t>Pensioner 1</t>
  </si>
  <si>
    <t>Pensioner 2</t>
  </si>
  <si>
    <t>Pensioner 4</t>
  </si>
  <si>
    <t>Account Balance</t>
  </si>
  <si>
    <t>Account Balance at Calculation Date</t>
  </si>
  <si>
    <t>N</t>
  </si>
  <si>
    <t>Date commuted (if applicable otherwise blank)</t>
  </si>
  <si>
    <t>First Account Based Pension</t>
  </si>
  <si>
    <t>End Date</t>
  </si>
  <si>
    <t>Age at Calc Date</t>
  </si>
  <si>
    <t>ABP Factor at Calc Date</t>
  </si>
  <si>
    <t>Minimum ABP</t>
  </si>
  <si>
    <t>Maximum ABP</t>
  </si>
  <si>
    <t>Extra ABP 1</t>
  </si>
  <si>
    <t>Extra ABP 3</t>
  </si>
  <si>
    <t>Extra ABP 2</t>
  </si>
  <si>
    <t>Purchase Date of the First Extra ABP</t>
  </si>
  <si>
    <t>Account Balance at Purchase Date</t>
  </si>
  <si>
    <t>Purchase Date of the Second Extra ABP</t>
  </si>
  <si>
    <t>Purchase Date of the Third Extra ABP</t>
  </si>
  <si>
    <t>Check Against SIS Regulations</t>
  </si>
  <si>
    <t>Check ABP1 min</t>
  </si>
  <si>
    <t>Check ABP2 min</t>
  </si>
  <si>
    <t>Check ABP3 min</t>
  </si>
  <si>
    <t>Check ABP1 overall</t>
  </si>
  <si>
    <t>Check ABP2 overall</t>
  </si>
  <si>
    <t>Check ABP3 overall</t>
  </si>
  <si>
    <t>Check ABP1 max</t>
  </si>
  <si>
    <t>Check ABP2 max</t>
  </si>
  <si>
    <t>Check ABP3 max</t>
  </si>
  <si>
    <t>Check ABP min</t>
  </si>
  <si>
    <t>Check ABP max</t>
  </si>
  <si>
    <t>Check ABP overall</t>
  </si>
  <si>
    <t>Calculated Minimum AP</t>
  </si>
  <si>
    <t>Calculated Maximum AP</t>
  </si>
  <si>
    <t>MLP Remaining Term at Calculation Date</t>
  </si>
  <si>
    <t>Actual MLP for the year</t>
  </si>
  <si>
    <t>Using New PVF (N) or Old PVF (O) *</t>
  </si>
  <si>
    <t>Minimum AP</t>
  </si>
  <si>
    <t>MLP</t>
  </si>
  <si>
    <t>MLP Factor at Calc Date</t>
  </si>
  <si>
    <t>Minimum MLP</t>
  </si>
  <si>
    <t>Maximum MLP</t>
  </si>
  <si>
    <t>Check AP min</t>
  </si>
  <si>
    <t>Check MLP min</t>
  </si>
  <si>
    <t>Check AP max</t>
  </si>
  <si>
    <t>Check MLP max</t>
  </si>
  <si>
    <t>Remaining Term at Calc Date</t>
  </si>
  <si>
    <t>Check AP overall</t>
  </si>
  <si>
    <t>Check MLP overall</t>
  </si>
  <si>
    <t>* excludes taxes, expenses &amp; net earnings</t>
  </si>
  <si>
    <t>* excludes contribution taxes, expenses &amp; net earnings</t>
  </si>
  <si>
    <t>Table</t>
  </si>
  <si>
    <t>Yes</t>
  </si>
  <si>
    <t>No</t>
  </si>
  <si>
    <t>New</t>
  </si>
  <si>
    <t>O</t>
  </si>
  <si>
    <t>Old</t>
  </si>
  <si>
    <t>Contribution</t>
  </si>
  <si>
    <t>PP</t>
  </si>
  <si>
    <t>Pension Payment</t>
  </si>
  <si>
    <t>CO</t>
  </si>
  <si>
    <t>TI</t>
  </si>
  <si>
    <t>TO</t>
  </si>
  <si>
    <t>OT</t>
  </si>
  <si>
    <t>Transfer In (incl R/Os)</t>
  </si>
  <si>
    <t>Transfer Out (incl R/O &amp; Bfts)</t>
  </si>
  <si>
    <t>Source</t>
  </si>
  <si>
    <t>Date</t>
  </si>
  <si>
    <t>Pensioner 3</t>
  </si>
  <si>
    <t>Amount</t>
  </si>
  <si>
    <t>Uniform</t>
  </si>
  <si>
    <t>Interim End Balance</t>
  </si>
  <si>
    <t>Total of Transactions during the year</t>
  </si>
  <si>
    <t>Total at Year End *</t>
  </si>
  <si>
    <t>* subject to review by the Actuary</t>
  </si>
  <si>
    <t>Range Check</t>
  </si>
  <si>
    <t>End Bal Est</t>
  </si>
  <si>
    <t>END BOOK ASSETS CHECK :</t>
  </si>
  <si>
    <t>Actual Weighted</t>
  </si>
  <si>
    <t>Any comments you wish to make?</t>
  </si>
  <si>
    <t xml:space="preserve">    Transfer in (rollovers / internal transfers)</t>
  </si>
  <si>
    <t xml:space="preserve">    Transfer out (lump sums / internal transfers)</t>
  </si>
  <si>
    <t xml:space="preserve">    Transfer In (rollovers / internal transfers)</t>
  </si>
  <si>
    <t>Check for transfer outs</t>
  </si>
  <si>
    <t>State</t>
  </si>
  <si>
    <t>ACT</t>
  </si>
  <si>
    <t>NSW</t>
  </si>
  <si>
    <t>NT</t>
  </si>
  <si>
    <t>QLD</t>
  </si>
  <si>
    <t>SA</t>
  </si>
  <si>
    <t>TAS</t>
  </si>
  <si>
    <t>VIC</t>
  </si>
  <si>
    <t>WA</t>
  </si>
  <si>
    <t>Description of Transfer</t>
  </si>
  <si>
    <t>Transfer Date</t>
  </si>
  <si>
    <t>CS</t>
  </si>
  <si>
    <t>Contribution Split</t>
  </si>
  <si>
    <t>AR</t>
  </si>
  <si>
    <t>Allocation to/from Reserve</t>
  </si>
  <si>
    <t>Specify in Comments Section</t>
  </si>
  <si>
    <t>Transfer from Pension</t>
  </si>
  <si>
    <t>Data OK indicator</t>
  </si>
  <si>
    <t>Total Member Opening Balances</t>
  </si>
  <si>
    <t>Total Member Closing Balances (excluding taxes, expense &amp; net earnings)</t>
  </si>
  <si>
    <t>Terminated</t>
  </si>
  <si>
    <t>Any comments you wish to make or special instructions?</t>
  </si>
  <si>
    <t>-  Put amount as positive for credits and negative for debits</t>
  </si>
  <si>
    <t>Instructions on entering member transactions</t>
  </si>
  <si>
    <t>Original / First ABP</t>
  </si>
  <si>
    <t>Allocated Pensions</t>
  </si>
  <si>
    <t>Market Linked Pensions</t>
  </si>
  <si>
    <t>Non-Pension Members</t>
  </si>
  <si>
    <t>Transfer from Non-Pension</t>
  </si>
  <si>
    <t>Pension to Non-Pension</t>
  </si>
  <si>
    <t>Non-Pension to Pension</t>
  </si>
  <si>
    <t>P2N</t>
  </si>
  <si>
    <t>N2P</t>
  </si>
  <si>
    <t>Did Fund Windup During the Year (Y/N)?</t>
  </si>
  <si>
    <t>Member name only used for ID purposes. Don't be concerned if name extends beyond the width of the cell.</t>
  </si>
  <si>
    <t>This sheet Is optional and can be used to verify that ABPs paid are within allowable limits</t>
  </si>
  <si>
    <t>This sheet Is optional and can be used to verify that APs and MLPs paid are within allowable limits</t>
  </si>
  <si>
    <t>Pension Valuation Table Old</t>
  </si>
  <si>
    <t>* Generally New Pension Valuation Factor (PVF) if AP purchased after 31/12/05</t>
  </si>
  <si>
    <t>Represented by:</t>
  </si>
  <si>
    <t>Plus Member Transactions During the year</t>
  </si>
  <si>
    <t>The above amounts are each rounded to the nearest dollar</t>
  </si>
  <si>
    <t>SUMMARY OF DATA PROVIDED FOR</t>
  </si>
  <si>
    <t>AN ACTUARIAL CERTIFICATE</t>
  </si>
  <si>
    <t>PBA Super</t>
  </si>
  <si>
    <t>Data Provider:</t>
  </si>
  <si>
    <t>-  Do not cut and paste data cells (yellows cells will go white if this is done). OK to copy cells and delete cells</t>
  </si>
  <si>
    <t>Balancing Items (Contributions Tax, Expenses, Net Fund Earnings, Year End Adjustments) - optional</t>
  </si>
  <si>
    <t>*</t>
  </si>
  <si>
    <t>only use for display on Transactions</t>
  </si>
  <si>
    <t>Terminated Client</t>
  </si>
  <si>
    <t>email address</t>
  </si>
  <si>
    <t>Otherwise Full Names of Individual Trustees</t>
  </si>
  <si>
    <t>Interim Calculation of Tax Exempt Applying to Investment Income for the Year *</t>
  </si>
  <si>
    <t>-  If there are numerous transactions for a particularly source then it would be suitable to put the date as the 15th day of each month and give the total amount for that month.  Large amounts should be shown separately with a specific date.</t>
  </si>
  <si>
    <t>State of person requesting the certificate</t>
  </si>
  <si>
    <t>For members with multiple pension accounts at the start of the year please combine into a single account for each member (same for non-pension accounts)</t>
  </si>
  <si>
    <t>-  Contributions includes all types (eg concessional, non-concessional, co-contribution, spouse etc).  Pensions are gross amounts.  Other includes specific member transactions (excludes expenses, contributions tax, earnings etc)</t>
  </si>
  <si>
    <t>Financial Information:</t>
  </si>
  <si>
    <t>Section A - Data Provider</t>
  </si>
  <si>
    <t>*  Confirm Year End above is consistent with the Net Fund Assets determined in the interim Financial Statements (Y/N)</t>
  </si>
  <si>
    <t>Remaining Balance (if any) After Transfer Out</t>
  </si>
  <si>
    <t>Page 2 of certificate - are the pensions within limits</t>
  </si>
  <si>
    <t>Number of Transfer out transactions Pension Account</t>
  </si>
  <si>
    <t>Non-Pension Account</t>
  </si>
  <si>
    <t>PBA Super Pty Ltd can complete an actuarial certificate for funds with account-based pensions (ABP), allocated pensions (AP) and/or market-linked pensions (MLP).</t>
  </si>
  <si>
    <t>Will only be done if you have confirmed that the Total End Member Balances are consistent with Net Fund Assets at Year End</t>
  </si>
  <si>
    <t>-  If a member has multiple pension accounts or non-pension accounts then these should be combined for each type of account.</t>
  </si>
  <si>
    <t>* also pension check</t>
  </si>
  <si>
    <t>2-A10, 2-A48, B43, B46</t>
  </si>
  <si>
    <t>B48</t>
  </si>
  <si>
    <t>Member/Pensioner Name</t>
  </si>
  <si>
    <t>Section C - Member Information</t>
  </si>
  <si>
    <t>Section D - Member Account (Pension &amp; Non-Pension Accounts) During the Year</t>
  </si>
  <si>
    <t>Section E - Summary of Member Transactions (derived from information on "Transactions Sheet")</t>
  </si>
  <si>
    <t>Check and change start balances or Transactions (Section D) if required.</t>
  </si>
  <si>
    <t>Section F - Member Balance Reconciliation</t>
  </si>
  <si>
    <t xml:space="preserve">    No need to account for any tax on investment earnings in Section F but also OK to allow for approximate tax</t>
  </si>
  <si>
    <t>Section G - Calculation of Tax Exempt Percentage</t>
  </si>
  <si>
    <t>To request a signed actuarial certificate please complete the yellow cells in Sections A, B, C, D, E &amp; F</t>
  </si>
  <si>
    <t>Complete Member Names, Opening Pension and Non-Pension Balances in Section E below and then go to Sheet Titled "Transactions" - Section D</t>
  </si>
  <si>
    <t>Once the data has been entered then return to Fund &amp; Member Details Sheet and check Section E</t>
  </si>
  <si>
    <t>If you would like to check that the Account Based Pensions (ABPs) are within allowable limits go to the Sheet titled "Optional ABPs" - Section E1</t>
  </si>
  <si>
    <t>If you would like to check that the Allocated Pensions (APs) or Market Linked Pensions (MLPs) are within allowable limits go to the Sheet titled "Optional AP MLP" - Section E2</t>
  </si>
  <si>
    <t>Section E1 - Account Based Pensions (ABPs) at start of year and purchased during the year</t>
  </si>
  <si>
    <t>Section E2 - Allocated Pensions (APs) and / or Market Linked Pensions (MLPs)</t>
  </si>
  <si>
    <t>An actuarial certificate is required where a fund has both pension and non-pension members at any time during the year and the fund assets are not segregated.</t>
  </si>
  <si>
    <t>Check for positive transfer outs (pension accounts)</t>
  </si>
  <si>
    <t>Test comment for commutations on start date</t>
  </si>
  <si>
    <t>Percentage check #1</t>
  </si>
  <si>
    <t>Ver 1.0</t>
  </si>
  <si>
    <t>-  Use the with line with Date of Uniform for contributions / pensions that are made uniformly over the year (eg regular monthly).  For transactions made uniformly over a part period put the mid point on a separate line as the date (eg from 1 July to 31 January the date would be 15 October)</t>
  </si>
  <si>
    <t>if Applicable</t>
  </si>
  <si>
    <t>B49</t>
  </si>
  <si>
    <t>Pension Percentage May be incorrect</t>
  </si>
  <si>
    <t>For calculation purposes the commutation date is the calculation date (will produce a pro rata minimum based on 1 day)</t>
  </si>
  <si>
    <t>Check for Pension Transfer Outs Page 2 (2-A50)</t>
  </si>
  <si>
    <t>Check for Transfer Outs Page 2 (2-A48)</t>
  </si>
  <si>
    <t>Check for Non-Pension Transfer Outs Page 2 (2-A49)</t>
  </si>
  <si>
    <t>pensioners</t>
  </si>
  <si>
    <t>Pension para 3, 1st sentence (6-A19)</t>
  </si>
  <si>
    <t>Pension Shorfall Comments (6-A19)</t>
  </si>
  <si>
    <t>Reserves (6-B98)</t>
  </si>
  <si>
    <t>Special error check as well</t>
  </si>
  <si>
    <t>Version 1.0</t>
  </si>
  <si>
    <t>Pension Shortfall Wording (depending on trusteeship) - 3rd para of certificate</t>
  </si>
  <si>
    <t>Standard/Termination Wording - Final para 1st page</t>
  </si>
  <si>
    <t>Retirement Phase Pension Accounts</t>
  </si>
  <si>
    <t>Other Accounts</t>
  </si>
  <si>
    <t>Other Accounts (Non-Pension &amp; TTR Pensions)</t>
  </si>
  <si>
    <t>The certificate has been prepared under Section 295-390 of the Income Tax Assessment Act 1997 which relates to the proportion of assessable income of a complying superannuation fund which is exempt from tax.  It also has regard to the Institute of Actuaries of Australia's Professional Standard 406 which requires that certain information be provided.</t>
  </si>
  <si>
    <t xml:space="preserve">  Other Member Balances</t>
  </si>
  <si>
    <t xml:space="preserve">  Retirement Phase Pension Member Balances **</t>
  </si>
  <si>
    <t>** Retirement Phase Pensions exclude transition to retirement pensions</t>
  </si>
  <si>
    <t>*  excludes all taxes, expenses &amp; net earnings</t>
  </si>
  <si>
    <t>First Extra ABP / TTR</t>
  </si>
  <si>
    <t>Unsegreg</t>
  </si>
  <si>
    <t>Start</t>
  </si>
  <si>
    <t>Indicator</t>
  </si>
  <si>
    <t>Start/End</t>
  </si>
  <si>
    <t>Accum</t>
  </si>
  <si>
    <t>Nos</t>
  </si>
  <si>
    <t>Accumulated</t>
  </si>
  <si>
    <t>Weighted</t>
  </si>
  <si>
    <t>Array</t>
  </si>
  <si>
    <t>DATE CHECK HERE</t>
  </si>
  <si>
    <t>Number of Changes</t>
  </si>
  <si>
    <t>End</t>
  </si>
  <si>
    <t>Text</t>
  </si>
  <si>
    <t>Non-Retirement Phase Accounts</t>
  </si>
  <si>
    <t>Retirement Phase Pensions</t>
  </si>
  <si>
    <t>Any partially segregated pension assets during the year (Y/N)?</t>
  </si>
  <si>
    <t>Segregated Comment (6-32)</t>
  </si>
  <si>
    <t>Difference</t>
  </si>
  <si>
    <t>(a) the Trust Deed governing the Fund permits the payment of the relevant pensions;</t>
  </si>
  <si>
    <t>Pension  shortfall</t>
  </si>
  <si>
    <t>Check Segregation Dates</t>
  </si>
  <si>
    <t>Test Start Balances against Net Assets(1-H71)</t>
  </si>
  <si>
    <t xml:space="preserve">Partially Segregated </t>
  </si>
  <si>
    <t>Second Extra ABP / TTR</t>
  </si>
  <si>
    <t>Third Extra ABP / TTR</t>
  </si>
  <si>
    <t>Segregated Comment (6-108)</t>
  </si>
  <si>
    <t>Segregated Comment (6-106/107)</t>
  </si>
  <si>
    <t>Check for Missing Pension Source Code (2-A13)</t>
  </si>
  <si>
    <t>* only covers periods where the fund is not fully in retirement phase</t>
  </si>
  <si>
    <t>(b) the data supplied is a true representation of the draft financial statements and any</t>
  </si>
  <si>
    <t xml:space="preserve">     changes to the member transactions may require a revision of this certificate; and</t>
  </si>
  <si>
    <t>*** excludes segregated current and non-current pension assets</t>
  </si>
  <si>
    <t>segregated EOY pens assets</t>
  </si>
  <si>
    <t>RP EOY assets less segregated pension assets</t>
  </si>
  <si>
    <t>Super EOY assets less segregated pension assets</t>
  </si>
  <si>
    <t>Uniform Fields where no opening RPl (2-A10)</t>
  </si>
  <si>
    <t>Check Negative Non-pension balances during the year</t>
  </si>
  <si>
    <t>Tel: (03) 9481 3390  Email: mail@pbasuper.com.au  Web: www.pbasuper.com.au</t>
  </si>
  <si>
    <t>Please return the completed spreadsheet request by email to paul@pbasuper.com.au (you can also click this sentence)</t>
  </si>
  <si>
    <t>Maximum AP</t>
  </si>
  <si>
    <t>Individual Trustee Wording 1, 2, 3 or 4</t>
  </si>
  <si>
    <t>Check for Pension Transfer Ins Page 2 (2-A59)</t>
  </si>
  <si>
    <t>Check for remaining balance (2-A61)</t>
  </si>
  <si>
    <t>Any disregarded small fund assets?</t>
  </si>
  <si>
    <t>Treat as unsegreagated pension liabilities for the entire year?</t>
  </si>
  <si>
    <t>SPECIAL</t>
  </si>
  <si>
    <t>(due to operation of "disregarded small fund assets")</t>
  </si>
  <si>
    <t>test</t>
  </si>
  <si>
    <t>dsfa or whole year calc</t>
  </si>
  <si>
    <t>basic wording dsfa</t>
  </si>
  <si>
    <t>Segregated Assets Warning (1-C35)</t>
  </si>
  <si>
    <t>Segregation Comment in certificate (, 6-B91)</t>
  </si>
  <si>
    <t>Data Review (1-E880)</t>
  </si>
  <si>
    <t>* sum these fields for display test for percentage 1-D85</t>
  </si>
  <si>
    <t>Check for Transfer Outs Page 1 (1-E86)</t>
  </si>
  <si>
    <t>Check for Terminated Fund (1-E87)</t>
  </si>
  <si>
    <t>Check for positive pension payments (1-A56)</t>
  </si>
  <si>
    <t>Check for positive TOs (pension accounts) * (1-A56)</t>
  </si>
  <si>
    <t>Check for positive TOs (non-pension accounts) (1-A680)</t>
  </si>
  <si>
    <t>Comment (1-C35)</t>
  </si>
  <si>
    <t>Check for Missing Non-Pension Source Code (2-I13)</t>
  </si>
  <si>
    <t>Uniform Fields where no opening non-pens bal (2-I10)</t>
  </si>
  <si>
    <t>For uniform transactions / Have to put some special wording where no opening balances and calcs  for date 01/01/23</t>
  </si>
  <si>
    <t>Segregated Comment (temp calc)</t>
  </si>
  <si>
    <t>Check for Notes</t>
  </si>
  <si>
    <t>Calculation date (later of purchase date and 1/07/24)</t>
  </si>
  <si>
    <t>Calculation date (later of purchase date and 1/07/2024)</t>
  </si>
  <si>
    <t>ACTUARIAL CERTIFICATE REQUEST  FOR YEAR ENDED 30 JUNE 2026</t>
  </si>
  <si>
    <t>Any pension shortfall payments relating to 2026 year?</t>
  </si>
  <si>
    <t>Opening Balance at 1/07/25</t>
  </si>
  <si>
    <t>Closing Balances at 30/06/26 *</t>
  </si>
  <si>
    <t>Opening Non-Pension Balance at 1/07/25</t>
  </si>
  <si>
    <t>Opening TTR Balance at 01/07/25</t>
  </si>
  <si>
    <t>FOR THE YEAR ENDED 30 JUNE 2026</t>
  </si>
  <si>
    <t>The average value during the 2025/26 year of income of unsegregated pension liabilities and unsegregated superannuation liabilities are as follows:</t>
  </si>
  <si>
    <t>The proportion of exempt investment income during the year 2025/26 is:</t>
  </si>
  <si>
    <t>Net Fund Assets at 30/06/25</t>
  </si>
  <si>
    <t>Net Fund Assets at 30/06/26 *</t>
  </si>
  <si>
    <t>The value super of superannuation liabilites at 30/06/26 ***</t>
  </si>
  <si>
    <t>Check for Shortfall 2026 Pensions payments (2-A10)</t>
  </si>
  <si>
    <t>Check for commutations on 1/07/25 (3-A17)</t>
  </si>
  <si>
    <t>The value of retirement phase pension pensions at 30/06/26 ***</t>
  </si>
  <si>
    <t>Net Fund Assets Market Value at 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</si>
</sst>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000000"/>
    <numFmt numFmtId="166" formatCode="0.0"/>
    <numFmt numFmtId="167" formatCode="0.0%"/>
    <numFmt numFmtId="168" formatCode="[$-C09]d\ mmmm\ yyyy;@"/>
  </numFmts>
  <fonts count="38" x14ac:knownFonts="1">
    <font>
      <sz val="10"/>
      <name val="Arial"/>
    </font>
    <font>
      <b/>
      <sz val="10"/>
      <name val="Arial"/>
      <family val="2"/>
    </font>
    <font>
      <b/>
      <sz val="10"/>
      <color indexed="10"/>
      <name val="Arial"/>
      <family val="2"/>
    </font>
    <font>
      <u/>
      <sz val="10"/>
      <color indexed="12"/>
      <name val="Arial"/>
      <family val="2"/>
    </font>
    <font>
      <b/>
      <i/>
      <sz val="10"/>
      <name val="Arial"/>
      <family val="2"/>
    </font>
    <font>
      <sz val="8"/>
      <name val="Arial"/>
      <family val="2"/>
    </font>
    <font>
      <b/>
      <sz val="12"/>
      <name val="Tahoma"/>
      <family val="2"/>
    </font>
    <font>
      <sz val="12"/>
      <name val="Tahoma"/>
      <family val="2"/>
    </font>
    <font>
      <b/>
      <sz val="10"/>
      <name val="Tahoma"/>
      <family val="2"/>
    </font>
    <font>
      <sz val="10"/>
      <name val="Tahoma"/>
      <family val="2"/>
    </font>
    <font>
      <sz val="8"/>
      <name val="Tahoma"/>
      <family val="2"/>
    </font>
    <font>
      <u/>
      <sz val="72"/>
      <color indexed="18"/>
      <name val="Times New Roman"/>
      <family val="1"/>
    </font>
    <font>
      <sz val="8"/>
      <color indexed="18"/>
      <name val="Times New Roman"/>
      <family val="1"/>
    </font>
    <font>
      <sz val="14"/>
      <color indexed="18"/>
      <name val="Times New Roman"/>
      <family val="1"/>
    </font>
    <font>
      <sz val="14"/>
      <name val="Arial"/>
      <family val="2"/>
    </font>
    <font>
      <sz val="10"/>
      <name val="Arial"/>
      <family val="2"/>
    </font>
    <font>
      <i/>
      <sz val="10"/>
      <name val="Arial"/>
      <family val="2"/>
    </font>
    <font>
      <b/>
      <sz val="12"/>
      <name val="Arial"/>
      <family val="2"/>
    </font>
    <font>
      <b/>
      <sz val="11"/>
      <name val="Arial"/>
      <family val="2"/>
    </font>
    <font>
      <sz val="11"/>
      <name val="Arial"/>
      <family val="2"/>
    </font>
    <font>
      <b/>
      <sz val="8"/>
      <name val="Arial"/>
      <family val="2"/>
    </font>
    <font>
      <sz val="9"/>
      <name val="Arial"/>
      <family val="2"/>
    </font>
    <font>
      <b/>
      <sz val="9"/>
      <name val="Arial"/>
      <family val="2"/>
    </font>
    <font>
      <i/>
      <sz val="9"/>
      <name val="Arial"/>
      <family val="2"/>
    </font>
    <font>
      <i/>
      <sz val="8"/>
      <name val="Arial"/>
      <family val="2"/>
    </font>
    <font>
      <sz val="9"/>
      <name val="Tahoma"/>
      <family val="2"/>
    </font>
    <font>
      <b/>
      <sz val="20"/>
      <name val="Arial"/>
      <family val="2"/>
    </font>
    <font>
      <b/>
      <sz val="20"/>
      <color indexed="18"/>
      <name val="Times New Roman"/>
      <family val="1"/>
    </font>
    <font>
      <b/>
      <i/>
      <sz val="8"/>
      <name val="Arial"/>
      <family val="2"/>
    </font>
    <font>
      <b/>
      <i/>
      <sz val="9"/>
      <name val="Arial"/>
      <family val="2"/>
    </font>
    <font>
      <b/>
      <sz val="10"/>
      <color rgb="FFFF0000"/>
      <name val="Arial"/>
      <family val="2"/>
    </font>
    <font>
      <sz val="10"/>
      <color rgb="FFFF0000"/>
      <name val="Arial"/>
      <family val="2"/>
    </font>
    <font>
      <sz val="9"/>
      <color rgb="FFFF0000"/>
      <name val="Arial"/>
      <family val="2"/>
    </font>
    <font>
      <i/>
      <sz val="8"/>
      <color rgb="FFFF0000"/>
      <name val="Arial"/>
      <family val="2"/>
    </font>
    <font>
      <b/>
      <sz val="9"/>
      <color rgb="FFFF0000"/>
      <name val="Arial"/>
      <family val="2"/>
    </font>
    <font>
      <sz val="10"/>
      <color rgb="FF00B050"/>
      <name val="Arial"/>
      <family val="2"/>
    </font>
    <font>
      <sz val="10"/>
      <color rgb="FFFF0000"/>
      <name val="Tahoma"/>
      <family val="2"/>
    </font>
    <font>
      <sz val="10"/>
      <color rgb="FF7030A0"/>
      <name val="Arial"/>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solid">
        <fgColor rgb="FFFFFF00"/>
        <bgColor indexed="64"/>
      </patternFill>
    </fill>
    <fill>
      <patternFill patternType="solid">
        <fgColor theme="6" tint="0.59996337778862885"/>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95">
    <xf numFmtId="0" fontId="0" fillId="0" borderId="0" xfId="0"/>
    <xf numFmtId="0" fontId="1" fillId="0" borderId="0" xfId="0" applyFont="1"/>
    <xf numFmtId="0" fontId="2" fillId="0" borderId="0" xfId="0" applyFont="1"/>
    <xf numFmtId="14" fontId="0" fillId="0" borderId="0" xfId="0" applyNumberFormat="1"/>
    <xf numFmtId="4" fontId="0" fillId="0" borderId="0" xfId="0" applyNumberFormat="1"/>
    <xf numFmtId="1" fontId="0" fillId="0" borderId="0" xfId="0" applyNumberFormat="1"/>
    <xf numFmtId="2" fontId="0" fillId="0" borderId="0" xfId="0" applyNumberFormat="1"/>
    <xf numFmtId="0" fontId="4" fillId="0" borderId="0" xfId="0" applyFont="1"/>
    <xf numFmtId="0" fontId="6" fillId="0" borderId="0" xfId="0" applyFont="1" applyAlignment="1">
      <alignment horizontal="left"/>
    </xf>
    <xf numFmtId="0" fontId="8" fillId="0" borderId="0" xfId="0" applyFont="1" applyAlignment="1">
      <alignment horizontal="left"/>
    </xf>
    <xf numFmtId="0" fontId="9" fillId="0" borderId="0" xfId="0" applyFont="1" applyAlignment="1">
      <alignment horizontal="right"/>
    </xf>
    <xf numFmtId="14" fontId="9" fillId="0" borderId="0" xfId="0" applyNumberFormat="1" applyFont="1" applyAlignment="1">
      <alignment horizontal="right"/>
    </xf>
    <xf numFmtId="0" fontId="9" fillId="0" borderId="0" xfId="0" applyFont="1" applyAlignment="1">
      <alignment horizontal="left"/>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horizontal="right"/>
    </xf>
    <xf numFmtId="165" fontId="10" fillId="0" borderId="0" xfId="0" applyNumberFormat="1" applyFont="1" applyAlignment="1">
      <alignment horizontal="right"/>
    </xf>
    <xf numFmtId="1" fontId="6" fillId="0" borderId="0" xfId="0" applyNumberFormat="1"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7" fillId="0" borderId="1" xfId="0" applyFont="1" applyBorder="1" applyAlignment="1">
      <alignment horizontal="right"/>
    </xf>
    <xf numFmtId="14" fontId="9" fillId="0" borderId="1" xfId="0" applyNumberFormat="1" applyFont="1" applyBorder="1" applyAlignment="1">
      <alignment horizontal="right"/>
    </xf>
    <xf numFmtId="0" fontId="15" fillId="0" borderId="0" xfId="0" applyFont="1"/>
    <xf numFmtId="0" fontId="15" fillId="0" borderId="0" xfId="0" applyFont="1" applyAlignment="1">
      <alignment horizontal="justify" wrapText="1"/>
    </xf>
    <xf numFmtId="0" fontId="1" fillId="0" borderId="0" xfId="0" applyFont="1" applyAlignment="1">
      <alignment horizontal="justify" wrapText="1"/>
    </xf>
    <xf numFmtId="14" fontId="9" fillId="2" borderId="1" xfId="0" applyNumberFormat="1" applyFont="1" applyFill="1" applyBorder="1" applyAlignment="1" applyProtection="1">
      <alignment horizontal="right"/>
      <protection locked="0"/>
    </xf>
    <xf numFmtId="0" fontId="9" fillId="2" borderId="1" xfId="0" applyFont="1" applyFill="1" applyBorder="1" applyAlignment="1" applyProtection="1">
      <alignment horizontal="left"/>
      <protection locked="0"/>
    </xf>
    <xf numFmtId="0" fontId="9" fillId="2" borderId="0" xfId="0" applyFont="1" applyFill="1" applyAlignment="1" applyProtection="1">
      <alignment horizontal="right"/>
      <protection locked="0"/>
    </xf>
    <xf numFmtId="0" fontId="9" fillId="2" borderId="1" xfId="0" applyFont="1" applyFill="1" applyBorder="1" applyAlignment="1" applyProtection="1">
      <alignment horizontal="right"/>
      <protection locked="0"/>
    </xf>
    <xf numFmtId="9" fontId="0" fillId="0" borderId="0" xfId="0" applyNumberFormat="1"/>
    <xf numFmtId="167" fontId="9" fillId="0" borderId="0" xfId="0" applyNumberFormat="1" applyFont="1" applyAlignment="1">
      <alignment horizontal="right"/>
    </xf>
    <xf numFmtId="14" fontId="9" fillId="2" borderId="0" xfId="0" applyNumberFormat="1" applyFont="1" applyFill="1" applyAlignment="1" applyProtection="1">
      <alignment horizontal="right"/>
      <protection locked="0"/>
    </xf>
    <xf numFmtId="0" fontId="20" fillId="0" borderId="0" xfId="0" applyFont="1"/>
    <xf numFmtId="168" fontId="0" fillId="5" borderId="0" xfId="0" applyNumberFormat="1" applyFill="1"/>
    <xf numFmtId="14" fontId="30" fillId="0" borderId="0" xfId="0" applyNumberFormat="1" applyFont="1"/>
    <xf numFmtId="0" fontId="22" fillId="0" borderId="0" xfId="0" applyFont="1"/>
    <xf numFmtId="0" fontId="21" fillId="5" borderId="0" xfId="0" applyFont="1" applyFill="1"/>
    <xf numFmtId="0" fontId="21" fillId="0" borderId="0" xfId="0" applyFont="1"/>
    <xf numFmtId="0" fontId="21" fillId="3" borderId="0" xfId="0" applyFont="1" applyFill="1" applyProtection="1">
      <protection locked="0"/>
    </xf>
    <xf numFmtId="0" fontId="15" fillId="0" borderId="2" xfId="0" applyFont="1" applyBorder="1"/>
    <xf numFmtId="0" fontId="31" fillId="0" borderId="0" xfId="0" applyFont="1"/>
    <xf numFmtId="0" fontId="21" fillId="0" borderId="3" xfId="0" applyFont="1" applyBorder="1"/>
    <xf numFmtId="0" fontId="21" fillId="5" borderId="4" xfId="0" applyFont="1" applyFill="1" applyBorder="1" applyProtection="1">
      <protection locked="0"/>
    </xf>
    <xf numFmtId="0" fontId="21" fillId="0" borderId="4" xfId="0" applyFont="1" applyBorder="1"/>
    <xf numFmtId="0" fontId="21" fillId="5" borderId="5" xfId="0" applyFont="1" applyFill="1" applyBorder="1" applyProtection="1">
      <protection locked="0"/>
    </xf>
    <xf numFmtId="14" fontId="21" fillId="5" borderId="5" xfId="0" applyNumberFormat="1" applyFont="1" applyFill="1" applyBorder="1" applyProtection="1">
      <protection locked="0"/>
    </xf>
    <xf numFmtId="0" fontId="21" fillId="0" borderId="5" xfId="0" applyFont="1" applyBorder="1"/>
    <xf numFmtId="0" fontId="21" fillId="5" borderId="5" xfId="0" applyFont="1" applyFill="1" applyBorder="1" applyAlignment="1" applyProtection="1">
      <alignment horizontal="center"/>
      <protection locked="0"/>
    </xf>
    <xf numFmtId="0" fontId="9" fillId="0" borderId="6" xfId="0" applyFont="1" applyBorder="1" applyAlignment="1">
      <alignment horizontal="right"/>
    </xf>
    <xf numFmtId="0" fontId="9" fillId="0" borderId="7" xfId="0" applyFont="1" applyBorder="1" applyAlignment="1">
      <alignment horizontal="right"/>
    </xf>
    <xf numFmtId="0" fontId="9" fillId="2" borderId="0" xfId="0" applyFont="1" applyFill="1" applyAlignment="1" applyProtection="1">
      <alignment horizontal="left"/>
      <protection locked="0"/>
    </xf>
    <xf numFmtId="166" fontId="31" fillId="0" borderId="0" xfId="0" applyNumberFormat="1" applyFont="1"/>
    <xf numFmtId="0" fontId="15" fillId="0" borderId="0" xfId="0" applyFont="1" applyAlignment="1">
      <alignment horizontal="justify"/>
    </xf>
    <xf numFmtId="0" fontId="15" fillId="0" borderId="0" xfId="0" applyFont="1" applyAlignment="1">
      <alignment horizontal="right"/>
    </xf>
    <xf numFmtId="0" fontId="32" fillId="0" borderId="0" xfId="0" applyFont="1"/>
    <xf numFmtId="0" fontId="24" fillId="0" borderId="0" xfId="0" applyFont="1"/>
    <xf numFmtId="0" fontId="21" fillId="0" borderId="0" xfId="0" applyFont="1" applyAlignment="1">
      <alignment horizontal="justify" wrapText="1"/>
    </xf>
    <xf numFmtId="0" fontId="23" fillId="0" borderId="0" xfId="0" applyFont="1"/>
    <xf numFmtId="0" fontId="22" fillId="0" borderId="8" xfId="0" applyFont="1" applyBorder="1"/>
    <xf numFmtId="0" fontId="22" fillId="0" borderId="9" xfId="0" applyFont="1" applyBorder="1"/>
    <xf numFmtId="0" fontId="0" fillId="5" borderId="0" xfId="0" applyFill="1"/>
    <xf numFmtId="14" fontId="21" fillId="5" borderId="10" xfId="0" applyNumberFormat="1" applyFont="1" applyFill="1" applyBorder="1" applyProtection="1">
      <protection locked="0"/>
    </xf>
    <xf numFmtId="0" fontId="23" fillId="0" borderId="2" xfId="0" applyFont="1" applyBorder="1"/>
    <xf numFmtId="0" fontId="21" fillId="0" borderId="2" xfId="0" applyFont="1" applyBorder="1"/>
    <xf numFmtId="0" fontId="21" fillId="5" borderId="11" xfId="0" applyFont="1" applyFill="1" applyBorder="1" applyProtection="1">
      <protection locked="0"/>
    </xf>
    <xf numFmtId="0" fontId="21" fillId="5" borderId="0" xfId="0" applyFont="1" applyFill="1" applyProtection="1">
      <protection locked="0"/>
    </xf>
    <xf numFmtId="0" fontId="21" fillId="5" borderId="0" xfId="0" applyFont="1" applyFill="1" applyAlignment="1" applyProtection="1">
      <alignment horizontal="left"/>
      <protection locked="0"/>
    </xf>
    <xf numFmtId="0" fontId="3" fillId="5" borderId="0" xfId="1" applyFill="1" applyAlignment="1" applyProtection="1">
      <protection locked="0"/>
    </xf>
    <xf numFmtId="0" fontId="21" fillId="5" borderId="0" xfId="0" applyFont="1" applyFill="1" applyAlignment="1" applyProtection="1">
      <alignment horizontal="center"/>
      <protection locked="0"/>
    </xf>
    <xf numFmtId="0" fontId="21" fillId="5" borderId="3" xfId="0" applyFont="1" applyFill="1" applyBorder="1" applyProtection="1">
      <protection locked="0"/>
    </xf>
    <xf numFmtId="0" fontId="17" fillId="0" borderId="0" xfId="0" applyFont="1" applyAlignment="1">
      <alignment horizontal="left"/>
    </xf>
    <xf numFmtId="0" fontId="21" fillId="0" borderId="0" xfId="0" applyFont="1" applyAlignment="1">
      <alignment horizontal="left"/>
    </xf>
    <xf numFmtId="0" fontId="18" fillId="0" borderId="0" xfId="0" applyFont="1"/>
    <xf numFmtId="0" fontId="19" fillId="0" borderId="0" xfId="0" applyFont="1"/>
    <xf numFmtId="0" fontId="16" fillId="0" borderId="3" xfId="0" applyFont="1" applyBorder="1"/>
    <xf numFmtId="0" fontId="22" fillId="0" borderId="4" xfId="0" applyFont="1" applyBorder="1"/>
    <xf numFmtId="0" fontId="22" fillId="0" borderId="10" xfId="0" applyFont="1" applyBorder="1"/>
    <xf numFmtId="0" fontId="29" fillId="0" borderId="0" xfId="0" applyFont="1"/>
    <xf numFmtId="0" fontId="22" fillId="0" borderId="5" xfId="0" applyFont="1" applyBorder="1"/>
    <xf numFmtId="0" fontId="21" fillId="2" borderId="5" xfId="0" applyFont="1" applyFill="1" applyBorder="1" applyAlignment="1">
      <alignment horizontal="right"/>
    </xf>
    <xf numFmtId="0" fontId="23" fillId="0" borderId="5" xfId="0" applyFont="1" applyBorder="1"/>
    <xf numFmtId="0" fontId="22" fillId="0" borderId="3" xfId="0" applyFont="1" applyBorder="1"/>
    <xf numFmtId="0" fontId="9" fillId="2" borderId="3" xfId="0" applyFont="1" applyFill="1" applyBorder="1" applyAlignment="1">
      <alignment horizontal="left"/>
    </xf>
    <xf numFmtId="0" fontId="0" fillId="0" borderId="4" xfId="0" applyBorder="1"/>
    <xf numFmtId="0" fontId="25" fillId="2" borderId="0" xfId="0" applyFont="1" applyFill="1" applyAlignment="1">
      <alignment horizontal="right"/>
    </xf>
    <xf numFmtId="0" fontId="25" fillId="2" borderId="10" xfId="0" applyFont="1" applyFill="1" applyBorder="1" applyAlignment="1">
      <alignment horizontal="center"/>
    </xf>
    <xf numFmtId="0" fontId="5" fillId="0" borderId="12" xfId="0" applyFont="1" applyBorder="1"/>
    <xf numFmtId="0" fontId="28" fillId="0" borderId="0" xfId="0" applyFont="1"/>
    <xf numFmtId="0" fontId="24" fillId="0" borderId="0" xfId="0" quotePrefix="1" applyFont="1"/>
    <xf numFmtId="0" fontId="33" fillId="0" borderId="0" xfId="0" applyFont="1"/>
    <xf numFmtId="0" fontId="22" fillId="0" borderId="0" xfId="0" applyFont="1" applyAlignment="1">
      <alignment horizontal="center" vertical="center"/>
    </xf>
    <xf numFmtId="0" fontId="21" fillId="2" borderId="15" xfId="0" applyFont="1" applyFill="1" applyBorder="1" applyAlignment="1">
      <alignment horizontal="left"/>
    </xf>
    <xf numFmtId="0" fontId="21" fillId="0" borderId="16" xfId="0" applyFont="1" applyBorder="1"/>
    <xf numFmtId="0" fontId="22" fillId="0" borderId="11" xfId="0" applyFont="1" applyBorder="1"/>
    <xf numFmtId="0" fontId="21" fillId="2" borderId="11" xfId="0" applyFont="1" applyFill="1" applyBorder="1"/>
    <xf numFmtId="0" fontId="21" fillId="2" borderId="11" xfId="0" applyFont="1" applyFill="1" applyBorder="1" applyAlignment="1">
      <alignment horizontal="left"/>
    </xf>
    <xf numFmtId="0" fontId="21" fillId="0" borderId="17" xfId="0" applyFont="1" applyBorder="1" applyAlignment="1">
      <alignment horizontal="right"/>
    </xf>
    <xf numFmtId="0" fontId="21" fillId="2" borderId="18" xfId="0" applyFont="1" applyFill="1" applyBorder="1" applyAlignment="1">
      <alignment horizontal="right"/>
    </xf>
    <xf numFmtId="0" fontId="21" fillId="0" borderId="11" xfId="0" applyFont="1" applyBorder="1"/>
    <xf numFmtId="0" fontId="0" fillId="0" borderId="13" xfId="0" applyBorder="1"/>
    <xf numFmtId="0" fontId="0" fillId="0" borderId="14" xfId="0" applyBorder="1"/>
    <xf numFmtId="14" fontId="21" fillId="5" borderId="11" xfId="0" applyNumberFormat="1" applyFont="1" applyFill="1" applyBorder="1" applyProtection="1">
      <protection locked="0"/>
    </xf>
    <xf numFmtId="0" fontId="21" fillId="5" borderId="19" xfId="0" applyFont="1" applyFill="1" applyBorder="1" applyProtection="1">
      <protection locked="0"/>
    </xf>
    <xf numFmtId="0" fontId="21" fillId="5" borderId="20" xfId="0" applyFont="1" applyFill="1" applyBorder="1" applyProtection="1">
      <protection locked="0"/>
    </xf>
    <xf numFmtId="0" fontId="16" fillId="0" borderId="5" xfId="0" applyFont="1" applyBorder="1"/>
    <xf numFmtId="0" fontId="22" fillId="0" borderId="21" xfId="0" applyFont="1" applyBorder="1"/>
    <xf numFmtId="0" fontId="21" fillId="2" borderId="22" xfId="0" applyFont="1" applyFill="1" applyBorder="1" applyAlignment="1">
      <alignment horizontal="right"/>
    </xf>
    <xf numFmtId="0" fontId="21" fillId="2" borderId="23" xfId="0" applyFont="1" applyFill="1" applyBorder="1" applyAlignment="1">
      <alignment horizontal="right"/>
    </xf>
    <xf numFmtId="0" fontId="21" fillId="2" borderId="24" xfId="0" applyFont="1" applyFill="1" applyBorder="1" applyAlignment="1">
      <alignment horizontal="center"/>
    </xf>
    <xf numFmtId="0" fontId="17" fillId="0" borderId="0" xfId="0" applyFont="1"/>
    <xf numFmtId="0" fontId="34" fillId="0" borderId="0" xfId="0" applyFont="1"/>
    <xf numFmtId="164" fontId="15" fillId="0" borderId="0" xfId="0" applyNumberFormat="1" applyFont="1"/>
    <xf numFmtId="164" fontId="15" fillId="0" borderId="25" xfId="0" applyNumberFormat="1" applyFont="1" applyBorder="1"/>
    <xf numFmtId="0" fontId="1" fillId="4" borderId="26" xfId="0" applyFont="1" applyFill="1" applyBorder="1"/>
    <xf numFmtId="0" fontId="15" fillId="4" borderId="27" xfId="0" applyFont="1" applyFill="1" applyBorder="1"/>
    <xf numFmtId="164" fontId="1" fillId="4" borderId="27" xfId="0" applyNumberFormat="1" applyFont="1" applyFill="1" applyBorder="1"/>
    <xf numFmtId="0" fontId="15" fillId="4" borderId="28" xfId="0" applyFont="1" applyFill="1" applyBorder="1"/>
    <xf numFmtId="0" fontId="1" fillId="4" borderId="29" xfId="0" applyFont="1" applyFill="1" applyBorder="1" applyAlignment="1">
      <alignment horizontal="right"/>
    </xf>
    <xf numFmtId="168" fontId="15" fillId="0" borderId="0" xfId="0" applyNumberFormat="1" applyFont="1" applyAlignment="1">
      <alignment horizontal="left"/>
    </xf>
    <xf numFmtId="0" fontId="12" fillId="0" borderId="0" xfId="0" applyFont="1" applyAlignment="1">
      <alignment horizontal="center"/>
    </xf>
    <xf numFmtId="164" fontId="0" fillId="0" borderId="0" xfId="0" applyNumberFormat="1"/>
    <xf numFmtId="0" fontId="16" fillId="0" borderId="0" xfId="0" applyFont="1"/>
    <xf numFmtId="0" fontId="21" fillId="0" borderId="0" xfId="0" quotePrefix="1" applyFont="1"/>
    <xf numFmtId="166" fontId="0" fillId="0" borderId="0" xfId="0" applyNumberFormat="1"/>
    <xf numFmtId="0" fontId="0" fillId="0" borderId="0" xfId="0" applyAlignment="1">
      <alignment horizontal="right"/>
    </xf>
    <xf numFmtId="0" fontId="13" fillId="0" borderId="0" xfId="0" applyFont="1" applyAlignment="1">
      <alignment horizontal="right"/>
    </xf>
    <xf numFmtId="0" fontId="5" fillId="0" borderId="0" xfId="0" applyFont="1" applyAlignment="1">
      <alignment horizontal="left"/>
    </xf>
    <xf numFmtId="0" fontId="28" fillId="0" borderId="0" xfId="0" quotePrefix="1" applyFont="1"/>
    <xf numFmtId="0" fontId="31" fillId="5" borderId="0" xfId="0" applyFont="1" applyFill="1"/>
    <xf numFmtId="14" fontId="21" fillId="2" borderId="30" xfId="0" applyNumberFormat="1" applyFont="1" applyFill="1" applyBorder="1" applyAlignment="1">
      <alignment horizontal="right"/>
    </xf>
    <xf numFmtId="14" fontId="21" fillId="2" borderId="3" xfId="0" applyNumberFormat="1" applyFont="1" applyFill="1" applyBorder="1" applyAlignment="1">
      <alignment horizontal="right"/>
    </xf>
    <xf numFmtId="14" fontId="21" fillId="2" borderId="31" xfId="0" applyNumberFormat="1" applyFont="1" applyFill="1" applyBorder="1" applyAlignment="1">
      <alignment horizontal="right"/>
    </xf>
    <xf numFmtId="14" fontId="21" fillId="2" borderId="32" xfId="0" applyNumberFormat="1" applyFont="1" applyFill="1" applyBorder="1" applyAlignment="1">
      <alignment horizontal="right"/>
    </xf>
    <xf numFmtId="0" fontId="21" fillId="2" borderId="4" xfId="0" applyFont="1" applyFill="1" applyBorder="1" applyAlignment="1">
      <alignment horizontal="left"/>
    </xf>
    <xf numFmtId="0" fontId="22" fillId="0" borderId="33" xfId="0" applyFont="1" applyBorder="1"/>
    <xf numFmtId="0" fontId="21" fillId="0" borderId="19" xfId="0" applyFont="1" applyBorder="1"/>
    <xf numFmtId="0" fontId="21" fillId="2" borderId="34" xfId="0" applyFont="1" applyFill="1" applyBorder="1" applyAlignment="1">
      <alignment horizontal="left"/>
    </xf>
    <xf numFmtId="0" fontId="21" fillId="2" borderId="11" xfId="0" applyFont="1" applyFill="1" applyBorder="1" applyAlignment="1">
      <alignment horizontal="right"/>
    </xf>
    <xf numFmtId="0" fontId="35" fillId="0" borderId="0" xfId="0" applyFont="1"/>
    <xf numFmtId="0" fontId="0" fillId="0" borderId="0" xfId="0" applyAlignment="1">
      <alignment horizontal="justify" wrapText="1"/>
    </xf>
    <xf numFmtId="168" fontId="31" fillId="6" borderId="0" xfId="0" applyNumberFormat="1" applyFont="1" applyFill="1" applyProtection="1">
      <protection locked="0"/>
    </xf>
    <xf numFmtId="168" fontId="0" fillId="6" borderId="0" xfId="0" applyNumberFormat="1" applyFill="1" applyProtection="1">
      <protection locked="0"/>
    </xf>
    <xf numFmtId="0" fontId="15" fillId="5" borderId="0" xfId="0" applyFont="1" applyFill="1"/>
    <xf numFmtId="0" fontId="7" fillId="0" borderId="0" xfId="0" applyFont="1" applyAlignment="1">
      <alignment horizontal="right"/>
    </xf>
    <xf numFmtId="14" fontId="15" fillId="0" borderId="0" xfId="0" applyNumberFormat="1" applyFont="1"/>
    <xf numFmtId="14" fontId="36" fillId="2" borderId="0" xfId="0" applyNumberFormat="1" applyFont="1" applyFill="1" applyAlignment="1" applyProtection="1">
      <alignment horizontal="right"/>
      <protection locked="0"/>
    </xf>
    <xf numFmtId="14" fontId="8" fillId="2" borderId="0" xfId="0" applyNumberFormat="1" applyFont="1" applyFill="1" applyAlignment="1" applyProtection="1">
      <alignment horizontal="left"/>
      <protection locked="0"/>
    </xf>
    <xf numFmtId="164" fontId="0" fillId="0" borderId="0" xfId="0" applyNumberFormat="1" applyAlignment="1">
      <alignment horizontal="left"/>
    </xf>
    <xf numFmtId="164" fontId="0" fillId="0" borderId="0" xfId="0" applyNumberFormat="1" applyAlignment="1">
      <alignment horizontal="right"/>
    </xf>
    <xf numFmtId="14" fontId="9" fillId="0" borderId="0" xfId="0" applyNumberFormat="1" applyFont="1" applyAlignment="1">
      <alignment horizontal="left"/>
    </xf>
    <xf numFmtId="0" fontId="21" fillId="0" borderId="13" xfId="0" applyFont="1" applyBorder="1"/>
    <xf numFmtId="0" fontId="21" fillId="0" borderId="14" xfId="0" applyFont="1" applyBorder="1"/>
    <xf numFmtId="0" fontId="37" fillId="0" borderId="0" xfId="0" quotePrefix="1" applyFont="1"/>
    <xf numFmtId="0" fontId="27" fillId="0" borderId="0" xfId="0" applyFont="1" applyAlignment="1">
      <alignment horizontal="left"/>
    </xf>
    <xf numFmtId="0" fontId="26" fillId="0" borderId="0" xfId="0" applyFont="1" applyAlignment="1">
      <alignment horizontal="left"/>
    </xf>
    <xf numFmtId="0" fontId="21" fillId="0" borderId="0" xfId="0" applyFont="1" applyAlignment="1">
      <alignment wrapText="1"/>
    </xf>
    <xf numFmtId="0" fontId="21" fillId="5" borderId="35" xfId="0" applyFont="1" applyFill="1" applyBorder="1" applyAlignment="1" applyProtection="1">
      <alignment wrapText="1"/>
      <protection locked="0"/>
    </xf>
    <xf numFmtId="0" fontId="0" fillId="0" borderId="0" xfId="0" applyAlignment="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0" fontId="0" fillId="0" borderId="38" xfId="0" applyBorder="1" applyAlignment="1">
      <alignment wrapText="1"/>
    </xf>
    <xf numFmtId="0" fontId="0" fillId="0" borderId="39" xfId="0" applyBorder="1" applyAlignment="1">
      <alignment wrapText="1"/>
    </xf>
    <xf numFmtId="0" fontId="0" fillId="5" borderId="35" xfId="0" applyFill="1" applyBorder="1" applyAlignment="1" applyProtection="1">
      <alignment wrapText="1"/>
      <protection locked="0"/>
    </xf>
    <xf numFmtId="0" fontId="15" fillId="5" borderId="35" xfId="0" applyFont="1" applyFill="1" applyBorder="1" applyAlignment="1" applyProtection="1">
      <alignment wrapText="1"/>
      <protection locked="0"/>
    </xf>
    <xf numFmtId="0" fontId="21" fillId="0" borderId="26" xfId="0" applyFont="1" applyBorder="1" applyAlignment="1">
      <alignment horizontal="center"/>
    </xf>
    <xf numFmtId="0" fontId="21" fillId="0" borderId="27" xfId="0" applyFont="1" applyBorder="1" applyAlignment="1">
      <alignment horizontal="center"/>
    </xf>
    <xf numFmtId="0" fontId="21" fillId="0" borderId="27" xfId="0" applyFont="1" applyBorder="1"/>
    <xf numFmtId="0" fontId="21" fillId="0" borderId="20" xfId="0" applyFont="1" applyBorder="1"/>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26" xfId="0" applyFont="1" applyBorder="1" applyAlignment="1">
      <alignment horizontal="right"/>
    </xf>
    <xf numFmtId="0" fontId="22" fillId="0" borderId="27" xfId="0" applyFont="1" applyBorder="1" applyAlignment="1">
      <alignment horizontal="right"/>
    </xf>
    <xf numFmtId="0" fontId="22" fillId="0" borderId="26" xfId="0" applyFont="1" applyBorder="1" applyAlignment="1">
      <alignment horizontal="center"/>
    </xf>
    <xf numFmtId="0" fontId="21" fillId="0" borderId="42" xfId="0" applyFont="1" applyBorder="1" applyAlignment="1">
      <alignment horizontal="right"/>
    </xf>
    <xf numFmtId="0" fontId="21" fillId="0" borderId="43" xfId="0" applyFont="1" applyBorder="1"/>
    <xf numFmtId="0" fontId="11" fillId="0" borderId="0" xfId="0" applyFont="1" applyAlignment="1">
      <alignment horizontal="center"/>
    </xf>
    <xf numFmtId="0" fontId="0" fillId="0" borderId="0" xfId="0"/>
    <xf numFmtId="0" fontId="13" fillId="0" borderId="0" xfId="0" applyFont="1" applyAlignment="1">
      <alignment horizontal="center"/>
    </xf>
    <xf numFmtId="0" fontId="14" fillId="0" borderId="0" xfId="0" applyFont="1"/>
    <xf numFmtId="0" fontId="15" fillId="0" borderId="0" xfId="0" applyFont="1" applyAlignment="1">
      <alignment horizontal="justify" wrapText="1"/>
    </xf>
    <xf numFmtId="0" fontId="1"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0" fontId="0" fillId="0" borderId="0" xfId="0" applyAlignment="1">
      <alignment horizontal="justify" wrapText="1"/>
    </xf>
    <xf numFmtId="0" fontId="15" fillId="0" borderId="0" xfId="0" applyFont="1" applyAlignment="1">
      <alignment horizontal="center"/>
    </xf>
    <xf numFmtId="168" fontId="15" fillId="0" borderId="0" xfId="0" applyNumberFormat="1" applyFont="1" applyAlignment="1">
      <alignment horizontal="left"/>
    </xf>
    <xf numFmtId="168" fontId="0" fillId="0" borderId="0" xfId="0" applyNumberFormat="1" applyAlignment="1">
      <alignment horizontal="left"/>
    </xf>
    <xf numFmtId="0" fontId="0" fillId="0" borderId="0" xfId="0" applyAlignment="1">
      <alignment horizontal="left"/>
    </xf>
    <xf numFmtId="0" fontId="1" fillId="0" borderId="0" xfId="0" applyFont="1" applyAlignment="1">
      <alignment horizontal="center" vertical="top"/>
    </xf>
    <xf numFmtId="0" fontId="0" fillId="0" borderId="0" xfId="0" applyAlignment="1">
      <alignment horizontal="center" vertical="top"/>
    </xf>
    <xf numFmtId="0" fontId="15" fillId="0" borderId="0" xfId="0" applyFont="1"/>
    <xf numFmtId="0" fontId="15" fillId="3" borderId="0" xfId="0" applyFont="1" applyFill="1" applyAlignment="1" applyProtection="1">
      <alignment horizontal="justify"/>
      <protection locked="0"/>
    </xf>
    <xf numFmtId="0" fontId="15" fillId="5" borderId="0" xfId="0" applyFont="1" applyFill="1" applyAlignment="1">
      <alignment wrapText="1"/>
    </xf>
  </cellXfs>
  <cellStyles count="2">
    <cellStyle name="Hyperlink" xfId="1" builtinId="8"/>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85725</xdr:rowOff>
    </xdr:from>
    <xdr:to>
      <xdr:col>5</xdr:col>
      <xdr:colOff>100013</xdr:colOff>
      <xdr:row>49</xdr:row>
      <xdr:rowOff>76200</xdr:rowOff>
    </xdr:to>
    <xdr:pic>
      <xdr:nvPicPr>
        <xdr:cNvPr id="1102" name="Picture 2" descr="Save0003">
          <a:extLst>
            <a:ext uri="{FF2B5EF4-FFF2-40B4-BE49-F238E27FC236}">
              <a16:creationId xmlns:a16="http://schemas.microsoft.com/office/drawing/2014/main" id="{00000000-0008-0000-0500-00004E040000}"/>
            </a:ext>
          </a:extLst>
        </xdr:cNvPr>
        <xdr:cNvPicPr>
          <a:picLocks noChangeAspect="1" noChangeArrowheads="1"/>
        </xdr:cNvPicPr>
      </xdr:nvPicPr>
      <xdr:blipFill>
        <a:blip xmlns:r="http://schemas.openxmlformats.org/officeDocument/2006/relationships" r:embed="rId1">
          <a:lum contrast="20000"/>
          <a:extLst>
            <a:ext uri="{28A0092B-C50C-407E-A947-70E740481C1C}">
              <a14:useLocalDpi xmlns:a14="http://schemas.microsoft.com/office/drawing/2010/main" val="0"/>
            </a:ext>
          </a:extLst>
        </a:blip>
        <a:srcRect/>
        <a:stretch>
          <a:fillRect/>
        </a:stretch>
      </xdr:blipFill>
      <xdr:spPr bwMode="auto">
        <a:xfrm>
          <a:off x="0" y="8186738"/>
          <a:ext cx="2938463"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pbasuper.com.au?subject=Actuarial%20Certificate%20Request%20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120"/>
  <sheetViews>
    <sheetView tabSelected="1" zoomScaleNormal="100" workbookViewId="0">
      <selection activeCell="B12" sqref="B12"/>
    </sheetView>
  </sheetViews>
  <sheetFormatPr defaultColWidth="9.1328125" defaultRowHeight="13.15" x14ac:dyDescent="0.4"/>
  <cols>
    <col min="1" max="1" width="47" style="1" customWidth="1"/>
    <col min="2" max="2" width="17.3984375" customWidth="1"/>
    <col min="3" max="3" width="15.86328125" customWidth="1"/>
    <col min="4" max="4" width="15.73046875" customWidth="1"/>
    <col min="5" max="5" width="14.86328125" customWidth="1"/>
    <col min="6" max="6" width="15.3984375" customWidth="1"/>
    <col min="7" max="7" width="15.59765625" customWidth="1"/>
  </cols>
  <sheetData>
    <row r="1" spans="1:7" ht="25.15" x14ac:dyDescent="0.7">
      <c r="A1" s="154" t="s">
        <v>80</v>
      </c>
      <c r="B1" s="154"/>
      <c r="C1" s="155"/>
      <c r="D1" s="155"/>
      <c r="E1" s="155"/>
      <c r="F1" s="155"/>
      <c r="G1" s="155"/>
    </row>
    <row r="2" spans="1:7" ht="15" x14ac:dyDescent="0.4">
      <c r="A2" s="71" t="s">
        <v>364</v>
      </c>
      <c r="C2" s="1"/>
    </row>
    <row r="3" spans="1:7" s="33" customFormat="1" ht="11.65" x14ac:dyDescent="0.35">
      <c r="A3" s="72" t="s">
        <v>260</v>
      </c>
    </row>
    <row r="4" spans="1:7" s="33" customFormat="1" ht="11.65" x14ac:dyDescent="0.35">
      <c r="A4" s="38" t="s">
        <v>82</v>
      </c>
    </row>
    <row r="5" spans="1:7" ht="12.75" x14ac:dyDescent="0.35">
      <c r="A5" s="23"/>
      <c r="B5" s="23"/>
    </row>
    <row r="6" spans="1:7" ht="15" x14ac:dyDescent="0.4">
      <c r="A6" s="110" t="s">
        <v>81</v>
      </c>
      <c r="B6" s="73"/>
      <c r="C6" s="74"/>
      <c r="D6" s="74"/>
      <c r="E6" s="74"/>
    </row>
    <row r="7" spans="1:7" ht="13.5" x14ac:dyDescent="0.35">
      <c r="A7" s="38" t="s">
        <v>267</v>
      </c>
      <c r="B7" s="74"/>
      <c r="C7" s="74"/>
      <c r="D7" s="74"/>
      <c r="E7" s="74"/>
    </row>
    <row r="8" spans="1:7" ht="12.75" x14ac:dyDescent="0.35">
      <c r="A8" s="156" t="s">
        <v>246</v>
      </c>
      <c r="B8" s="156"/>
      <c r="C8" s="156"/>
      <c r="D8" s="156"/>
      <c r="E8" s="156"/>
    </row>
    <row r="9" spans="1:7" ht="12.75" customHeight="1" x14ac:dyDescent="0.35">
      <c r="A9" s="156" t="s">
        <v>335</v>
      </c>
      <c r="B9" s="156"/>
      <c r="C9" s="156"/>
      <c r="D9" s="156"/>
      <c r="E9" s="156"/>
    </row>
    <row r="10" spans="1:7" ht="12.75" x14ac:dyDescent="0.35">
      <c r="A10" s="156"/>
      <c r="B10" s="156"/>
      <c r="C10" s="156"/>
      <c r="D10" s="156"/>
      <c r="E10" s="156"/>
    </row>
    <row r="11" spans="1:7" ht="15" x14ac:dyDescent="0.4">
      <c r="A11" s="110" t="s">
        <v>240</v>
      </c>
    </row>
    <row r="12" spans="1:7" ht="12.75" x14ac:dyDescent="0.35">
      <c r="A12" s="36" t="s">
        <v>83</v>
      </c>
      <c r="B12" s="66"/>
      <c r="C12" s="37"/>
      <c r="D12" s="37"/>
    </row>
    <row r="13" spans="1:7" ht="12.75" x14ac:dyDescent="0.35">
      <c r="A13" s="36" t="s">
        <v>54</v>
      </c>
      <c r="B13" s="66"/>
      <c r="C13" s="37"/>
      <c r="D13" s="37"/>
    </row>
    <row r="14" spans="1:7" ht="12.75" x14ac:dyDescent="0.35">
      <c r="A14" s="36" t="s">
        <v>55</v>
      </c>
      <c r="B14" s="66"/>
      <c r="C14" s="37"/>
      <c r="D14" s="37"/>
    </row>
    <row r="15" spans="1:7" ht="12.75" x14ac:dyDescent="0.35">
      <c r="A15" s="36" t="s">
        <v>56</v>
      </c>
      <c r="B15" s="66"/>
      <c r="C15" s="37"/>
      <c r="D15" s="37"/>
    </row>
    <row r="16" spans="1:7" ht="12.75" x14ac:dyDescent="0.35">
      <c r="A16" s="36" t="s">
        <v>181</v>
      </c>
      <c r="B16" s="66"/>
    </row>
    <row r="17" spans="1:5" x14ac:dyDescent="0.4">
      <c r="A17" s="1" t="s">
        <v>57</v>
      </c>
      <c r="B17" s="67"/>
      <c r="C17" s="1"/>
    </row>
    <row r="18" spans="1:5" ht="12.75" x14ac:dyDescent="0.35">
      <c r="A18" s="36" t="s">
        <v>232</v>
      </c>
      <c r="B18" s="68"/>
      <c r="C18" s="61"/>
      <c r="D18" s="61"/>
    </row>
    <row r="20" spans="1:5" ht="15" x14ac:dyDescent="0.4">
      <c r="A20" s="110" t="s">
        <v>84</v>
      </c>
    </row>
    <row r="21" spans="1:5" ht="12.75" x14ac:dyDescent="0.35">
      <c r="A21" s="36" t="s">
        <v>0</v>
      </c>
      <c r="B21" s="66"/>
      <c r="C21" s="37"/>
      <c r="D21" s="37"/>
      <c r="E21" s="38"/>
    </row>
    <row r="22" spans="1:5" ht="12.75" x14ac:dyDescent="0.35">
      <c r="A22" s="36" t="s">
        <v>90</v>
      </c>
      <c r="B22" s="39"/>
      <c r="C22" s="37"/>
      <c r="D22" s="55" t="str">
        <f>IF($B$22="",IF(B24="","Please show names of individual trustees if not a Corporate Trustee",""),"")</f>
        <v>Please show names of individual trustees if not a Corporate Trustee</v>
      </c>
      <c r="E22" s="38"/>
    </row>
    <row r="23" spans="1:5" ht="12.75" x14ac:dyDescent="0.35">
      <c r="A23" s="36" t="s">
        <v>233</v>
      </c>
      <c r="D23" s="38"/>
      <c r="E23" s="38"/>
    </row>
    <row r="24" spans="1:5" ht="12.75" x14ac:dyDescent="0.35">
      <c r="A24" s="36" t="s">
        <v>74</v>
      </c>
      <c r="B24" s="66"/>
      <c r="C24" s="37"/>
      <c r="D24" s="55" t="str">
        <f>IF($B$22&lt;&gt;"",IF(B24&lt;&gt;"","Warning do not show name of trustee as the trustee if a corporate trustee",""),"")</f>
        <v/>
      </c>
      <c r="E24" s="38"/>
    </row>
    <row r="25" spans="1:5" ht="12.75" x14ac:dyDescent="0.35">
      <c r="A25" s="36" t="s">
        <v>75</v>
      </c>
      <c r="B25" s="66"/>
      <c r="C25" s="37"/>
      <c r="D25" s="55" t="str">
        <f>IF($B$22&lt;&gt;"",IF(B25&lt;&gt;"","Warning do not show name of trustee as the trustee if a corporate trustee",""),"")</f>
        <v/>
      </c>
      <c r="E25" s="38"/>
    </row>
    <row r="26" spans="1:5" ht="12.75" x14ac:dyDescent="0.35">
      <c r="A26" s="36" t="s">
        <v>76</v>
      </c>
      <c r="B26" s="66"/>
      <c r="C26" s="37"/>
      <c r="D26" s="55" t="str">
        <f>IF($B$22&lt;&gt;"",IF(B26&lt;&gt;"","Warning do not show name of trustee as the trustee if a corporate trustee",""),"")</f>
        <v/>
      </c>
      <c r="E26" s="38"/>
    </row>
    <row r="27" spans="1:5" ht="12.75" x14ac:dyDescent="0.35">
      <c r="A27" s="36" t="s">
        <v>77</v>
      </c>
      <c r="B27" s="66"/>
      <c r="C27" s="37"/>
      <c r="D27" s="55" t="str">
        <f>IF($B$22&lt;&gt;"",IF(B27&lt;&gt;"","Warning do not show name of trustee as the trustee if a corporate trustee",""),"")</f>
        <v/>
      </c>
      <c r="E27" s="38"/>
    </row>
    <row r="28" spans="1:5" ht="12.75" x14ac:dyDescent="0.35">
      <c r="A28" s="38"/>
      <c r="B28" s="55" t="str">
        <f>IF(B22&lt;&gt;"","",IF(B24&lt;&gt;"",IF(B25&lt;&gt;"","","Must be a 2nd trustee"),""))</f>
        <v/>
      </c>
      <c r="C28" s="38"/>
      <c r="D28" s="38"/>
      <c r="E28" s="38"/>
    </row>
    <row r="29" spans="1:5" ht="12.75" x14ac:dyDescent="0.35">
      <c r="A29" s="38" t="s">
        <v>379</v>
      </c>
      <c r="B29" s="39"/>
      <c r="C29" s="38"/>
      <c r="D29" s="38"/>
      <c r="E29" s="38"/>
    </row>
    <row r="30" spans="1:5" ht="12.75" x14ac:dyDescent="0.35">
      <c r="A30" s="38" t="s">
        <v>214</v>
      </c>
      <c r="B30" s="69" t="s">
        <v>101</v>
      </c>
      <c r="C30" s="38"/>
      <c r="D30" s="38"/>
      <c r="E30" s="38"/>
    </row>
    <row r="31" spans="1:5" ht="12.75" x14ac:dyDescent="0.35">
      <c r="A31" s="38" t="s">
        <v>341</v>
      </c>
      <c r="B31" s="69" t="s">
        <v>48</v>
      </c>
      <c r="C31" s="58" t="str">
        <f>IF(UPPER(B31)="N","tax exempt percentage applies while fund is unsegregated","document choice &amp; tax exempt percentage applies over entire financial year")</f>
        <v>document choice &amp; tax exempt percentage applies over entire financial year</v>
      </c>
      <c r="D31" s="38"/>
      <c r="E31" s="38"/>
    </row>
    <row r="32" spans="1:5" ht="12.75" x14ac:dyDescent="0.35">
      <c r="A32" s="38" t="s">
        <v>340</v>
      </c>
      <c r="B32" s="69" t="s">
        <v>101</v>
      </c>
      <c r="C32" s="38"/>
      <c r="D32" s="38"/>
      <c r="E32" s="38"/>
    </row>
    <row r="33" spans="1:7" ht="12.75" x14ac:dyDescent="0.35">
      <c r="A33" s="38" t="s">
        <v>312</v>
      </c>
      <c r="B33" s="69" t="s">
        <v>101</v>
      </c>
      <c r="C33" s="55" t="str">
        <f>Check!B29</f>
        <v/>
      </c>
      <c r="D33" s="38"/>
      <c r="E33" s="38"/>
    </row>
    <row r="34" spans="1:7" ht="12.75" x14ac:dyDescent="0.35">
      <c r="A34" s="38" t="s">
        <v>365</v>
      </c>
      <c r="B34" s="69" t="s">
        <v>101</v>
      </c>
      <c r="C34" s="55" t="str">
        <f>Check!B51</f>
        <v/>
      </c>
      <c r="D34" s="38"/>
      <c r="E34" s="38"/>
    </row>
    <row r="35" spans="1:7" ht="12.75" x14ac:dyDescent="0.35">
      <c r="A35" s="38"/>
      <c r="B35" s="38"/>
      <c r="C35" s="55" t="str">
        <f>Check!B52</f>
        <v/>
      </c>
      <c r="D35" s="38"/>
      <c r="E35" s="38"/>
    </row>
    <row r="36" spans="1:7" ht="15" x14ac:dyDescent="0.4">
      <c r="A36" s="110" t="s">
        <v>253</v>
      </c>
    </row>
    <row r="37" spans="1:7" thickBot="1" x14ac:dyDescent="0.4">
      <c r="A37" s="58" t="s">
        <v>215</v>
      </c>
    </row>
    <row r="38" spans="1:7" ht="12.75" x14ac:dyDescent="0.35">
      <c r="A38" s="75" t="s">
        <v>71</v>
      </c>
      <c r="B38" s="42" t="s">
        <v>67</v>
      </c>
      <c r="C38" s="42" t="s">
        <v>68</v>
      </c>
      <c r="D38" s="42" t="s">
        <v>69</v>
      </c>
      <c r="E38" s="42" t="s">
        <v>70</v>
      </c>
    </row>
    <row r="39" spans="1:7" thickBot="1" x14ac:dyDescent="0.4">
      <c r="A39" s="76" t="s">
        <v>252</v>
      </c>
      <c r="B39" s="43"/>
      <c r="C39" s="66"/>
      <c r="D39" s="43"/>
      <c r="E39" s="43"/>
    </row>
    <row r="40" spans="1:7" thickBot="1" x14ac:dyDescent="0.4">
      <c r="A40" s="77" t="s">
        <v>1</v>
      </c>
      <c r="B40" s="62"/>
      <c r="C40" s="62"/>
      <c r="D40" s="62"/>
      <c r="E40" s="62"/>
    </row>
    <row r="41" spans="1:7" ht="12.75" x14ac:dyDescent="0.35">
      <c r="A41" s="40"/>
      <c r="B41" s="38" t="str">
        <f>IF(B24&lt;&gt;"","All Members must be trustees - special rules for single member funds.","")</f>
        <v/>
      </c>
      <c r="C41" s="38"/>
      <c r="D41" s="38"/>
      <c r="E41" s="38"/>
    </row>
    <row r="42" spans="1:7" s="38" customFormat="1" ht="11.65" x14ac:dyDescent="0.35">
      <c r="A42" s="78" t="s">
        <v>261</v>
      </c>
    </row>
    <row r="43" spans="1:7" s="38" customFormat="1" ht="11.65" x14ac:dyDescent="0.35">
      <c r="A43" s="64"/>
    </row>
    <row r="44" spans="1:7" ht="15" x14ac:dyDescent="0.4">
      <c r="A44" s="110" t="s">
        <v>255</v>
      </c>
      <c r="B44" s="38"/>
      <c r="C44" s="38"/>
      <c r="D44" s="38"/>
      <c r="E44" s="38"/>
    </row>
    <row r="45" spans="1:7" thickBot="1" x14ac:dyDescent="0.4">
      <c r="A45" s="58" t="s">
        <v>237</v>
      </c>
      <c r="B45" s="38"/>
      <c r="C45" s="38"/>
      <c r="D45" s="38"/>
      <c r="E45" s="38"/>
    </row>
    <row r="46" spans="1:7" ht="12.75" x14ac:dyDescent="0.35">
      <c r="A46" s="42" t="s">
        <v>71</v>
      </c>
      <c r="B46" s="42" t="s">
        <v>67</v>
      </c>
      <c r="C46" s="42" t="s">
        <v>68</v>
      </c>
      <c r="D46" s="42" t="s">
        <v>69</v>
      </c>
      <c r="E46" s="42" t="s">
        <v>70</v>
      </c>
      <c r="F46" s="42"/>
      <c r="G46" s="42" t="s">
        <v>79</v>
      </c>
    </row>
    <row r="47" spans="1:7" ht="12.75" x14ac:dyDescent="0.35">
      <c r="A47" s="79" t="s">
        <v>62</v>
      </c>
      <c r="B47" s="92" t="str">
        <f t="shared" ref="B47:E47" si="0">IF(B39&lt;&gt;"",B39,"")</f>
        <v/>
      </c>
      <c r="C47" s="92" t="str">
        <f t="shared" si="0"/>
        <v/>
      </c>
      <c r="D47" s="92" t="str">
        <f t="shared" si="0"/>
        <v/>
      </c>
      <c r="E47" s="92" t="str">
        <f t="shared" si="0"/>
        <v/>
      </c>
      <c r="F47" s="47"/>
      <c r="G47" s="47"/>
    </row>
    <row r="48" spans="1:7" thickBot="1" x14ac:dyDescent="0.4">
      <c r="A48" s="76" t="s">
        <v>288</v>
      </c>
      <c r="B48" s="44"/>
      <c r="C48" s="44"/>
      <c r="D48" s="44"/>
      <c r="E48" s="44"/>
      <c r="F48" s="44"/>
      <c r="G48" s="44"/>
    </row>
    <row r="49" spans="1:7" ht="12.75" x14ac:dyDescent="0.35">
      <c r="A49" s="47" t="s">
        <v>366</v>
      </c>
      <c r="B49" s="45"/>
      <c r="C49" s="45"/>
      <c r="D49" s="45"/>
      <c r="E49" s="45"/>
      <c r="F49" s="47"/>
      <c r="G49" s="80">
        <f>ROUND(SUM(B49:E49),2)</f>
        <v>0</v>
      </c>
    </row>
    <row r="50" spans="1:7" ht="12.75" x14ac:dyDescent="0.35">
      <c r="A50" s="47" t="s">
        <v>66</v>
      </c>
      <c r="B50" s="80">
        <f>SUMIF(Transactions!$A$16:$A$46,Transactions!$B72,Transactions!D$16:D$46)</f>
        <v>0</v>
      </c>
      <c r="C50" s="80">
        <f>SUMIF(Transactions!$A$16:$A$46,Transactions!$B72,Transactions!E$16:E$46)</f>
        <v>0</v>
      </c>
      <c r="D50" s="80">
        <f>SUMIF(Transactions!$A$16:$A$46,Transactions!$B72,Transactions!F$16:F$46)</f>
        <v>0</v>
      </c>
      <c r="E50" s="80">
        <f>SUMIF(Transactions!$A$16:$A$46,Transactions!$B72,Transactions!G$16:G$46)</f>
        <v>0</v>
      </c>
      <c r="F50" s="81"/>
      <c r="G50" s="80">
        <f>ROUND(SUM(B50:E50),2)</f>
        <v>0</v>
      </c>
    </row>
    <row r="51" spans="1:7" ht="12.75" x14ac:dyDescent="0.35">
      <c r="A51" s="47" t="s">
        <v>177</v>
      </c>
      <c r="B51" s="80">
        <f>SUMIF(Transactions!$A$16:$A$46,Transactions!$B73,Transactions!D$16:D$46)</f>
        <v>0</v>
      </c>
      <c r="C51" s="80">
        <f>SUMIF(Transactions!$A$16:$A$46,Transactions!$B73,Transactions!E$16:E$46)</f>
        <v>0</v>
      </c>
      <c r="D51" s="80">
        <f>SUMIF(Transactions!$A$16:$A$46,Transactions!$B73,Transactions!F$16:F$46)</f>
        <v>0</v>
      </c>
      <c r="E51" s="80">
        <f>SUMIF(Transactions!$A$16:$A$46,Transactions!$B73,Transactions!G$16:G$46)</f>
        <v>0</v>
      </c>
      <c r="F51" s="81"/>
      <c r="G51" s="80">
        <f>ROUND(SUM(B51:E51),2)</f>
        <v>0</v>
      </c>
    </row>
    <row r="52" spans="1:7" ht="12.75" x14ac:dyDescent="0.35">
      <c r="A52" s="47" t="s">
        <v>178</v>
      </c>
      <c r="B52" s="80">
        <f>SUMIF(Transactions!$A$16:$A$46,Transactions!$B74,Transactions!D$16:D$46)</f>
        <v>0</v>
      </c>
      <c r="C52" s="80">
        <f>SUMIF(Transactions!$A$16:$A$46,Transactions!$B74,Transactions!E$16:E$46)</f>
        <v>0</v>
      </c>
      <c r="D52" s="80">
        <f>SUMIF(Transactions!$A$16:$A$46,Transactions!$B74,Transactions!F$16:F$46)</f>
        <v>0</v>
      </c>
      <c r="E52" s="80">
        <f>SUMIF(Transactions!$A$16:$A$46,Transactions!$B74,Transactions!G$16:G$46)</f>
        <v>0</v>
      </c>
      <c r="F52" s="81"/>
      <c r="G52" s="80">
        <f>ROUND(SUM(B52:E52),2)</f>
        <v>0</v>
      </c>
    </row>
    <row r="53" spans="1:7" ht="12.75" x14ac:dyDescent="0.35">
      <c r="A53" s="47" t="s">
        <v>65</v>
      </c>
      <c r="B53" s="80">
        <f>SUMIF(Transactions!$A$16:$A$46,Transactions!$B75,Transactions!D$16:D$46)</f>
        <v>0</v>
      </c>
      <c r="C53" s="80">
        <f>SUMIF(Transactions!$A$16:$A$46,Transactions!$B75,Transactions!E$16:E$46)</f>
        <v>0</v>
      </c>
      <c r="D53" s="80">
        <f>SUMIF(Transactions!$A$16:$A$46,Transactions!$B75,Transactions!F$16:F$46)</f>
        <v>0</v>
      </c>
      <c r="E53" s="80">
        <f>SUMIF(Transactions!$A$16:$A$46,Transactions!$B75,Transactions!G$16:G$46)</f>
        <v>0</v>
      </c>
      <c r="F53" s="81"/>
      <c r="G53" s="80">
        <f>ROUND(SUM(B53:E53),2)</f>
        <v>0</v>
      </c>
    </row>
    <row r="54" spans="1:7" ht="12.75" x14ac:dyDescent="0.35">
      <c r="A54" s="47" t="s">
        <v>367</v>
      </c>
      <c r="B54" s="80">
        <f t="shared" ref="B54:E54" si="1">ROUND(SUM(B49:B53),2)</f>
        <v>0</v>
      </c>
      <c r="C54" s="80">
        <f t="shared" si="1"/>
        <v>0</v>
      </c>
      <c r="D54" s="80">
        <f t="shared" si="1"/>
        <v>0</v>
      </c>
      <c r="E54" s="80">
        <f t="shared" si="1"/>
        <v>0</v>
      </c>
      <c r="F54" s="81"/>
      <c r="G54" s="80">
        <f>ROUND(SUM(G49:G53),2)</f>
        <v>0</v>
      </c>
    </row>
    <row r="55" spans="1:7" thickBot="1" x14ac:dyDescent="0.4">
      <c r="A55" s="44" t="s">
        <v>146</v>
      </c>
      <c r="B55" s="44"/>
      <c r="C55" s="44"/>
      <c r="D55" s="44"/>
      <c r="E55" s="44"/>
      <c r="F55" s="44"/>
      <c r="G55" s="44"/>
    </row>
    <row r="56" spans="1:7" thickBot="1" x14ac:dyDescent="0.4">
      <c r="A56" s="55" t="str">
        <f>Check!B47</f>
        <v/>
      </c>
      <c r="B56" s="38"/>
      <c r="C56" s="38"/>
      <c r="D56" s="55"/>
      <c r="E56" s="55"/>
    </row>
    <row r="57" spans="1:7" ht="12.75" x14ac:dyDescent="0.35">
      <c r="A57" s="82" t="s">
        <v>62</v>
      </c>
      <c r="B57" s="83" t="str">
        <f>IF(B39&lt;&gt;"",B39,"")</f>
        <v/>
      </c>
      <c r="C57" s="83" t="str">
        <f>IF(C39&lt;&gt;"",C39,"")</f>
        <v/>
      </c>
      <c r="D57" s="83" t="str">
        <f>IF(D39&lt;&gt;"",D39,"")</f>
        <v/>
      </c>
      <c r="E57" s="83" t="str">
        <f>IF(E39&lt;&gt;"",E39,"")</f>
        <v/>
      </c>
      <c r="F57" s="83" t="s">
        <v>94</v>
      </c>
      <c r="G57" s="42" t="s">
        <v>79</v>
      </c>
    </row>
    <row r="58" spans="1:7" thickBot="1" x14ac:dyDescent="0.4">
      <c r="A58" s="76" t="s">
        <v>289</v>
      </c>
      <c r="B58" s="44"/>
      <c r="C58" s="44"/>
      <c r="D58" s="44"/>
      <c r="E58" s="44"/>
      <c r="F58" s="44"/>
      <c r="G58" s="44"/>
    </row>
    <row r="59" spans="1:7" ht="12.75" x14ac:dyDescent="0.35">
      <c r="A59" s="47" t="s">
        <v>368</v>
      </c>
      <c r="B59" s="70"/>
      <c r="C59" s="70"/>
      <c r="D59" s="70"/>
      <c r="E59" s="70"/>
      <c r="F59" s="70"/>
      <c r="G59" s="80">
        <f t="shared" ref="G59:G65" si="2">ROUND(SUM(B59:F59),2)</f>
        <v>0</v>
      </c>
    </row>
    <row r="60" spans="1:7" ht="12.75" x14ac:dyDescent="0.35">
      <c r="A60" s="47" t="s">
        <v>369</v>
      </c>
      <c r="B60" s="45"/>
      <c r="C60" s="45"/>
      <c r="D60" s="45"/>
      <c r="E60" s="45"/>
      <c r="F60" s="80">
        <v>0</v>
      </c>
      <c r="G60" s="80">
        <f t="shared" si="2"/>
        <v>0</v>
      </c>
    </row>
    <row r="61" spans="1:7" ht="12.75" x14ac:dyDescent="0.35">
      <c r="A61" s="47" t="s">
        <v>64</v>
      </c>
      <c r="B61" s="80">
        <f>SUMIF(Transactions!$I$16:$I$46,Transactions!$E72,Transactions!L$16:L$46)</f>
        <v>0</v>
      </c>
      <c r="C61" s="80">
        <f>SUMIF(Transactions!$I$16:$I$46,Transactions!$E72,Transactions!M$16:M$46)</f>
        <v>0</v>
      </c>
      <c r="D61" s="80">
        <f>SUMIF(Transactions!$I$16:$I$46,Transactions!$E72,Transactions!N$16:N$46)</f>
        <v>0</v>
      </c>
      <c r="E61" s="80">
        <f>SUMIF(Transactions!$I$16:$I$46,Transactions!$E72,Transactions!O$16:O$46)</f>
        <v>0</v>
      </c>
      <c r="F61" s="80">
        <f>SUMIF(Transactions!$I$16:$I$46,Transactions!$E72,Transactions!P$16:P$46)</f>
        <v>0</v>
      </c>
      <c r="G61" s="80">
        <f t="shared" si="2"/>
        <v>0</v>
      </c>
    </row>
    <row r="62" spans="1:7" ht="12.75" x14ac:dyDescent="0.35">
      <c r="A62" s="47" t="s">
        <v>179</v>
      </c>
      <c r="B62" s="80">
        <f>SUMIF(Transactions!$I$16:$I$46,Transactions!$E74,Transactions!L$16:L$46)</f>
        <v>0</v>
      </c>
      <c r="C62" s="80">
        <f>SUMIF(Transactions!$I$16:$I$46,Transactions!$E74,Transactions!M$16:M$46)</f>
        <v>0</v>
      </c>
      <c r="D62" s="80">
        <f>SUMIF(Transactions!$I$16:$I$46,Transactions!$E74,Transactions!N$16:N$46)</f>
        <v>0</v>
      </c>
      <c r="E62" s="80">
        <f>SUMIF(Transactions!$I$16:$I$46,Transactions!$E74,Transactions!O$16:O$46)</f>
        <v>0</v>
      </c>
      <c r="F62" s="80">
        <f>SUMIF(Transactions!$I$16:$I$46,Transactions!$E74,Transactions!P$16:P$46)</f>
        <v>0</v>
      </c>
      <c r="G62" s="80">
        <f t="shared" si="2"/>
        <v>0</v>
      </c>
    </row>
    <row r="63" spans="1:7" ht="12.75" x14ac:dyDescent="0.35">
      <c r="A63" s="47" t="s">
        <v>178</v>
      </c>
      <c r="B63" s="80">
        <f>SUMIF(Transactions!$I$16:$I$46,Transactions!$E75,Transactions!L$16:L$46)</f>
        <v>0</v>
      </c>
      <c r="C63" s="80">
        <f>SUMIF(Transactions!$I$16:$I$46,Transactions!$E75,Transactions!M$16:M$46)</f>
        <v>0</v>
      </c>
      <c r="D63" s="80">
        <f>SUMIF(Transactions!$I$16:$I$46,Transactions!$E75,Transactions!N$16:N$46)</f>
        <v>0</v>
      </c>
      <c r="E63" s="80">
        <f>SUMIF(Transactions!$I$16:$I$46,Transactions!$E75,Transactions!O$16:O$46)</f>
        <v>0</v>
      </c>
      <c r="F63" s="80">
        <f>SUMIF(Transactions!$I$16:$I$46,Transactions!$E75,Transactions!P$16:P$46)</f>
        <v>0</v>
      </c>
      <c r="G63" s="80">
        <f t="shared" si="2"/>
        <v>0</v>
      </c>
    </row>
    <row r="64" spans="1:7" ht="12.75" x14ac:dyDescent="0.35">
      <c r="A64" s="47" t="s">
        <v>66</v>
      </c>
      <c r="B64" s="80">
        <f>SUMIF(Transactions!$I$16:$I$46,Transactions!$E73,Transactions!L$16:L$46)</f>
        <v>0</v>
      </c>
      <c r="C64" s="80">
        <f>SUMIF(Transactions!$I$16:$I$46,Transactions!$E73,Transactions!M$16:M$46)</f>
        <v>0</v>
      </c>
      <c r="D64" s="80">
        <f>SUMIF(Transactions!$I$16:$I$46,Transactions!$E73,Transactions!N$16:N$46)</f>
        <v>0</v>
      </c>
      <c r="E64" s="80">
        <f>SUMIF(Transactions!$I$16:$I$46,Transactions!$E73,Transactions!O$16:O$46)</f>
        <v>0</v>
      </c>
      <c r="F64" s="80">
        <f>SUMIF(Transactions!$I$16:$I$46,Transactions!$E73,Transactions!P$16:P$46)</f>
        <v>0</v>
      </c>
      <c r="G64" s="80">
        <f t="shared" si="2"/>
        <v>0</v>
      </c>
    </row>
    <row r="65" spans="1:8" ht="12.75" x14ac:dyDescent="0.35">
      <c r="A65" s="47" t="s">
        <v>65</v>
      </c>
      <c r="B65" s="80">
        <f>SUMIF(Transactions!$I$16:$I$46,Transactions!$E76,Transactions!L$16:L$46)</f>
        <v>0</v>
      </c>
      <c r="C65" s="80">
        <f>SUMIF(Transactions!$I$16:$I$46,Transactions!$E76,Transactions!M$16:M$46)</f>
        <v>0</v>
      </c>
      <c r="D65" s="80">
        <f>SUMIF(Transactions!$I$16:$I$46,Transactions!$E76,Transactions!N$16:N$46)</f>
        <v>0</v>
      </c>
      <c r="E65" s="80">
        <f>SUMIF(Transactions!$I$16:$I$46,Transactions!$E76,Transactions!O$16:O$46)</f>
        <v>0</v>
      </c>
      <c r="F65" s="80">
        <f>SUMIF(Transactions!$I$16:$I$46,Transactions!$E76,Transactions!P$16:P$46)</f>
        <v>0</v>
      </c>
      <c r="G65" s="80">
        <f t="shared" si="2"/>
        <v>0</v>
      </c>
    </row>
    <row r="66" spans="1:8" ht="12.75" x14ac:dyDescent="0.35">
      <c r="A66" s="47" t="s">
        <v>367</v>
      </c>
      <c r="B66" s="80">
        <f t="shared" ref="B66:E66" si="3">ROUND(SUM(B59:B65),2)</f>
        <v>0</v>
      </c>
      <c r="C66" s="80">
        <f t="shared" si="3"/>
        <v>0</v>
      </c>
      <c r="D66" s="80">
        <f t="shared" si="3"/>
        <v>0</v>
      </c>
      <c r="E66" s="80">
        <f t="shared" si="3"/>
        <v>0</v>
      </c>
      <c r="F66" s="80">
        <f t="shared" ref="F66" si="4">ROUND(SUM(F59:F65),2)</f>
        <v>0</v>
      </c>
      <c r="G66" s="80">
        <f>SUM(G59:G65)</f>
        <v>0</v>
      </c>
    </row>
    <row r="67" spans="1:8" thickBot="1" x14ac:dyDescent="0.4">
      <c r="A67" s="44" t="s">
        <v>147</v>
      </c>
      <c r="B67" s="84"/>
      <c r="C67" s="84"/>
      <c r="D67" s="84"/>
      <c r="E67" s="84"/>
      <c r="F67" s="84"/>
      <c r="G67" s="84"/>
    </row>
    <row r="68" spans="1:8" ht="12.75" x14ac:dyDescent="0.35">
      <c r="A68" s="55" t="str">
        <f>Check!B48</f>
        <v/>
      </c>
    </row>
    <row r="69" spans="1:8" ht="12.75" x14ac:dyDescent="0.35">
      <c r="A69" s="78" t="s">
        <v>256</v>
      </c>
    </row>
    <row r="70" spans="1:8" s="38" customFormat="1" ht="11.65" x14ac:dyDescent="0.35">
      <c r="A70" s="63" t="s">
        <v>263</v>
      </c>
    </row>
    <row r="71" spans="1:8" s="38" customFormat="1" ht="11.65" x14ac:dyDescent="0.35">
      <c r="A71" s="63" t="s">
        <v>264</v>
      </c>
    </row>
    <row r="72" spans="1:8" ht="12.75" x14ac:dyDescent="0.35">
      <c r="A72"/>
    </row>
    <row r="73" spans="1:8" ht="15" x14ac:dyDescent="0.4">
      <c r="A73" s="110" t="s">
        <v>257</v>
      </c>
    </row>
    <row r="74" spans="1:8" ht="12.75" x14ac:dyDescent="0.35">
      <c r="A74" s="38" t="s">
        <v>199</v>
      </c>
      <c r="B74" s="38"/>
      <c r="C74" s="38"/>
      <c r="D74" s="38"/>
      <c r="E74" s="38"/>
      <c r="F74" s="41"/>
      <c r="G74" s="85">
        <f>ROUND(G49+G59+G60,2)</f>
        <v>0</v>
      </c>
      <c r="H74" s="41" t="str">
        <f>Check!B30</f>
        <v/>
      </c>
    </row>
    <row r="75" spans="1:8" ht="12.75" x14ac:dyDescent="0.35">
      <c r="A75" s="38" t="s">
        <v>200</v>
      </c>
      <c r="B75" s="38"/>
      <c r="C75" s="38"/>
      <c r="D75" s="38"/>
      <c r="E75" s="38"/>
      <c r="G75" s="85">
        <f>ROUND(G54+G66,2)</f>
        <v>0</v>
      </c>
    </row>
    <row r="76" spans="1:8" ht="12.75" x14ac:dyDescent="0.35">
      <c r="A76" s="38" t="s">
        <v>228</v>
      </c>
      <c r="B76" s="38"/>
      <c r="C76" s="38"/>
      <c r="D76" s="38"/>
      <c r="E76" s="38"/>
      <c r="G76" s="66"/>
    </row>
    <row r="77" spans="1:8" ht="12.75" x14ac:dyDescent="0.35">
      <c r="A77" s="38" t="s">
        <v>170</v>
      </c>
      <c r="B77" s="38"/>
      <c r="C77" s="38"/>
      <c r="D77" s="38"/>
      <c r="E77" s="38"/>
      <c r="G77" s="85">
        <f>ROUND(G75+G76,2)</f>
        <v>0</v>
      </c>
    </row>
    <row r="78" spans="1:8" ht="12.75" x14ac:dyDescent="0.35">
      <c r="A78" s="38"/>
      <c r="B78" s="38"/>
      <c r="C78" s="38"/>
      <c r="D78" s="38"/>
      <c r="E78" s="38"/>
      <c r="G78" s="38"/>
    </row>
    <row r="79" spans="1:8" ht="12.75" x14ac:dyDescent="0.35">
      <c r="A79" s="111" t="s">
        <v>241</v>
      </c>
      <c r="B79" s="38"/>
      <c r="C79" s="38"/>
      <c r="D79" s="38"/>
      <c r="E79" s="38"/>
      <c r="G79" s="69" t="s">
        <v>101</v>
      </c>
    </row>
    <row r="80" spans="1:8" ht="12.75" x14ac:dyDescent="0.35">
      <c r="A80" s="38" t="s">
        <v>258</v>
      </c>
      <c r="B80" s="38"/>
      <c r="C80" s="38"/>
      <c r="D80" s="38"/>
      <c r="E80" s="38"/>
    </row>
    <row r="81" spans="1:7" ht="12.75" x14ac:dyDescent="0.35">
      <c r="A81" s="36"/>
      <c r="B81" s="57"/>
      <c r="C81" s="57"/>
      <c r="D81" s="57"/>
      <c r="E81" s="57"/>
      <c r="F81" s="24"/>
      <c r="G81" s="24"/>
    </row>
    <row r="82" spans="1:7" ht="15" x14ac:dyDescent="0.4">
      <c r="A82" s="110" t="s">
        <v>259</v>
      </c>
    </row>
    <row r="83" spans="1:7" ht="12.75" x14ac:dyDescent="0.35">
      <c r="A83" s="58" t="s">
        <v>247</v>
      </c>
      <c r="B83" s="38"/>
      <c r="C83" s="38"/>
      <c r="D83" s="38"/>
      <c r="E83" s="38"/>
    </row>
    <row r="84" spans="1:7" thickBot="1" x14ac:dyDescent="0.4">
      <c r="A84" s="36"/>
      <c r="B84" s="38"/>
      <c r="C84" s="38"/>
      <c r="D84" s="38"/>
      <c r="E84" s="38"/>
    </row>
    <row r="85" spans="1:7" thickBot="1" x14ac:dyDescent="0.4">
      <c r="A85" s="36" t="s">
        <v>234</v>
      </c>
      <c r="B85" s="38"/>
      <c r="C85" s="38"/>
      <c r="D85" s="86" t="str">
        <f>IF(Check!B39&gt;0,"",CONCATENATE("=  ",'Percentage Calc'!D392,"%"))</f>
        <v/>
      </c>
      <c r="E85" s="55" t="str">
        <f>IF(UPPER(G79)="Y","","Will only calculate if data is confirmed above (Section F)")</f>
        <v>Will only calculate if data is confirmed above (Section F)</v>
      </c>
    </row>
    <row r="86" spans="1:7" ht="12.75" x14ac:dyDescent="0.35">
      <c r="A86" s="36" t="s">
        <v>171</v>
      </c>
      <c r="B86" s="38"/>
      <c r="C86" s="38"/>
      <c r="D86" s="38"/>
      <c r="E86" s="55" t="str">
        <f>Check!B41</f>
        <v/>
      </c>
    </row>
    <row r="87" spans="1:7" ht="12.75" x14ac:dyDescent="0.35">
      <c r="A87" s="36" t="s">
        <v>325</v>
      </c>
      <c r="B87" s="38"/>
      <c r="C87" s="38"/>
      <c r="D87" s="38"/>
      <c r="E87" s="55" t="str">
        <f>Check!B42</f>
        <v/>
      </c>
    </row>
    <row r="88" spans="1:7" thickBot="1" x14ac:dyDescent="0.4">
      <c r="A88" s="36"/>
      <c r="B88" s="38"/>
      <c r="C88" s="38"/>
      <c r="D88" s="38"/>
      <c r="E88" s="55" t="str">
        <f>Check!D10</f>
        <v/>
      </c>
    </row>
    <row r="89" spans="1:7" thickTop="1" x14ac:dyDescent="0.35">
      <c r="A89" s="87" t="s">
        <v>202</v>
      </c>
      <c r="B89" s="151"/>
      <c r="C89" s="151"/>
      <c r="D89" s="151"/>
      <c r="E89" s="151"/>
      <c r="F89" s="151"/>
      <c r="G89" s="152"/>
    </row>
    <row r="90" spans="1:7" ht="12.75" x14ac:dyDescent="0.35">
      <c r="A90" s="157"/>
      <c r="B90" s="158"/>
      <c r="C90" s="158"/>
      <c r="D90" s="158"/>
      <c r="E90" s="158"/>
      <c r="F90" s="158"/>
      <c r="G90" s="159"/>
    </row>
    <row r="91" spans="1:7" ht="12.75" x14ac:dyDescent="0.35">
      <c r="A91" s="160"/>
      <c r="B91" s="158"/>
      <c r="C91" s="158"/>
      <c r="D91" s="158"/>
      <c r="E91" s="158"/>
      <c r="F91" s="158"/>
      <c r="G91" s="159"/>
    </row>
    <row r="92" spans="1:7" ht="12.75" x14ac:dyDescent="0.35">
      <c r="A92" s="160"/>
      <c r="B92" s="158"/>
      <c r="C92" s="158"/>
      <c r="D92" s="158"/>
      <c r="E92" s="158"/>
      <c r="F92" s="158"/>
      <c r="G92" s="159"/>
    </row>
    <row r="93" spans="1:7" ht="12.75" x14ac:dyDescent="0.35">
      <c r="A93" s="160"/>
      <c r="B93" s="158"/>
      <c r="C93" s="158"/>
      <c r="D93" s="158"/>
      <c r="E93" s="158"/>
      <c r="F93" s="158"/>
      <c r="G93" s="159"/>
    </row>
    <row r="94" spans="1:7" thickBot="1" x14ac:dyDescent="0.4">
      <c r="A94" s="161"/>
      <c r="B94" s="162"/>
      <c r="C94" s="162"/>
      <c r="D94" s="162"/>
      <c r="E94" s="162"/>
      <c r="F94" s="162"/>
      <c r="G94" s="163"/>
    </row>
    <row r="95" spans="1:7" thickTop="1" x14ac:dyDescent="0.35">
      <c r="A95" s="56" t="s">
        <v>285</v>
      </c>
    </row>
    <row r="97" spans="1:3" x14ac:dyDescent="0.4">
      <c r="A97" s="1" t="str">
        <f>IF(Check!B39&gt;0,"",IF(Check!B87&gt;0,"","Period(s) to which tax exempt percentage applies"))</f>
        <v/>
      </c>
    </row>
    <row r="98" spans="1:3" ht="12.75" hidden="1" x14ac:dyDescent="0.35">
      <c r="A98" s="23" t="s">
        <v>236</v>
      </c>
      <c r="B98" s="23" t="s">
        <v>182</v>
      </c>
    </row>
    <row r="99" spans="1:3" ht="12.75" hidden="1" x14ac:dyDescent="0.35">
      <c r="A99" s="23"/>
      <c r="B99" s="23" t="s">
        <v>183</v>
      </c>
    </row>
    <row r="100" spans="1:3" ht="12.75" hidden="1" x14ac:dyDescent="0.35">
      <c r="A100" s="23"/>
      <c r="B100" s="23" t="s">
        <v>184</v>
      </c>
    </row>
    <row r="101" spans="1:3" ht="12.75" hidden="1" x14ac:dyDescent="0.35">
      <c r="A101" s="23"/>
      <c r="B101" s="23" t="s">
        <v>185</v>
      </c>
    </row>
    <row r="102" spans="1:3" ht="12.75" hidden="1" x14ac:dyDescent="0.35">
      <c r="A102" s="23"/>
      <c r="B102" s="23" t="s">
        <v>186</v>
      </c>
    </row>
    <row r="103" spans="1:3" ht="12.75" hidden="1" x14ac:dyDescent="0.35">
      <c r="A103" s="23"/>
      <c r="B103" s="23" t="s">
        <v>187</v>
      </c>
    </row>
    <row r="104" spans="1:3" ht="12.75" hidden="1" x14ac:dyDescent="0.35">
      <c r="A104" s="23"/>
      <c r="B104" s="23" t="s">
        <v>188</v>
      </c>
    </row>
    <row r="105" spans="1:3" ht="12.75" hidden="1" x14ac:dyDescent="0.35">
      <c r="A105" s="23"/>
      <c r="B105" s="23" t="s">
        <v>189</v>
      </c>
    </row>
    <row r="106" spans="1:3" ht="12.75" hidden="1" x14ac:dyDescent="0.35">
      <c r="A106" s="23"/>
    </row>
    <row r="107" spans="1:3" ht="12.75" hidden="1" x14ac:dyDescent="0.35">
      <c r="A107" s="23" t="s">
        <v>148</v>
      </c>
      <c r="B107" t="s">
        <v>48</v>
      </c>
      <c r="C107" t="s">
        <v>149</v>
      </c>
    </row>
    <row r="108" spans="1:3" ht="12.75" hidden="1" x14ac:dyDescent="0.35">
      <c r="A108" s="23"/>
      <c r="B108" t="s">
        <v>101</v>
      </c>
      <c r="C108" t="s">
        <v>150</v>
      </c>
    </row>
    <row r="109" spans="1:3" ht="12.75" x14ac:dyDescent="0.35">
      <c r="A109" s="23" t="str">
        <f>IF(Check!$B$39&gt;0,"",IF(Check!$B$87&gt;0,"",'Percentage Calc'!E400))</f>
        <v/>
      </c>
    </row>
    <row r="110" spans="1:3" ht="12.75" x14ac:dyDescent="0.35">
      <c r="A110" s="23" t="str">
        <f>IF(Check!$B$39&gt;0,"",IF(Check!$B$87&gt;0,"",'Percentage Calc'!E401))</f>
        <v/>
      </c>
    </row>
    <row r="111" spans="1:3" ht="12.75" x14ac:dyDescent="0.35">
      <c r="A111" s="23" t="str">
        <f>IF(Check!$B$39&gt;0,"",IF(Check!$B$87&gt;0,"",'Percentage Calc'!E402))</f>
        <v/>
      </c>
    </row>
    <row r="112" spans="1:3" ht="12.75" x14ac:dyDescent="0.35">
      <c r="A112" s="23" t="str">
        <f>IF(Check!$B$39&gt;0,"",IF(Check!$B$87&gt;0,"",'Percentage Calc'!E403))</f>
        <v/>
      </c>
    </row>
    <row r="113" spans="1:1" ht="12.75" x14ac:dyDescent="0.35">
      <c r="A113" s="23" t="str">
        <f>IF(Check!$B$39&gt;0,"",IF(Check!$B$87&gt;0,"",'Percentage Calc'!E404))</f>
        <v/>
      </c>
    </row>
    <row r="114" spans="1:1" ht="12.75" x14ac:dyDescent="0.35">
      <c r="A114" s="23" t="str">
        <f>IF(Check!$B$39&gt;0,"",IF(Check!$B$87&gt;0,"",'Percentage Calc'!E405))</f>
        <v/>
      </c>
    </row>
    <row r="115" spans="1:1" ht="12.75" x14ac:dyDescent="0.35">
      <c r="A115" s="23" t="str">
        <f>IF(Check!$B$39&gt;0,"",IF(Check!$B$87&gt;0,"",'Percentage Calc'!E406))</f>
        <v/>
      </c>
    </row>
    <row r="116" spans="1:1" ht="12.75" x14ac:dyDescent="0.35">
      <c r="A116" s="23" t="str">
        <f>IF(Check!$B$39&gt;0,"",IF(Check!$B$87&gt;0,"",'Percentage Calc'!E407))</f>
        <v/>
      </c>
    </row>
    <row r="117" spans="1:1" ht="12.75" x14ac:dyDescent="0.35">
      <c r="A117" s="23" t="str">
        <f>IF(Check!$B$39&gt;0,"",IF(Check!$B$87&gt;0,"",'Percentage Calc'!E408))</f>
        <v/>
      </c>
    </row>
    <row r="118" spans="1:1" ht="12.75" x14ac:dyDescent="0.35">
      <c r="A118" s="23" t="str">
        <f>IF(Check!$B$39&gt;0,"",IF(Check!$B$87&gt;0,"",'Percentage Calc'!E409))</f>
        <v/>
      </c>
    </row>
    <row r="119" spans="1:1" ht="12.75" x14ac:dyDescent="0.35">
      <c r="A119" s="23" t="str">
        <f>IF(Check!$B$39&gt;0,"",IF(Check!$B$87&gt;0,"",'Percentage Calc'!E410))</f>
        <v/>
      </c>
    </row>
    <row r="120" spans="1:1" ht="12.75" x14ac:dyDescent="0.35">
      <c r="A120" s="23" t="str">
        <f>IF(Check!$B$39&gt;0,"",IF(Check!$B$87&gt;0,"",'Percentage Calc'!E411))</f>
        <v/>
      </c>
    </row>
  </sheetData>
  <sheetProtection algorithmName="SHA-512" hashValue="mdC82JK8Q1HE/W11bT80POxvPno+JpR0a7bJJFmK+aRDyydqaIH/P7cPRtfZJE6wU1ele8ifwpju8srB4ahwMg==" saltValue="oo9g8+7A4ThqBjh8/WXR1g==" spinCount="100000" sheet="1" objects="1" scenarios="1"/>
  <dataConsolidate/>
  <mergeCells count="5">
    <mergeCell ref="A1:G1"/>
    <mergeCell ref="A8:E8"/>
    <mergeCell ref="A9:E9"/>
    <mergeCell ref="A90:G94"/>
    <mergeCell ref="A10:E10"/>
  </mergeCells>
  <phoneticPr fontId="5" type="noConversion"/>
  <conditionalFormatting sqref="B50:E50">
    <cfRule type="cellIs" dxfId="5" priority="9" stopIfTrue="1" operator="greaterThan">
      <formula>0.001</formula>
    </cfRule>
  </conditionalFormatting>
  <conditionalFormatting sqref="B64:F64">
    <cfRule type="cellIs" dxfId="4" priority="1" stopIfTrue="1" operator="greaterThan">
      <formula>0.001</formula>
    </cfRule>
  </conditionalFormatting>
  <conditionalFormatting sqref="E52">
    <cfRule type="cellIs" dxfId="3" priority="4" stopIfTrue="1" operator="greaterThan">
      <formula>0.001</formula>
    </cfRule>
  </conditionalFormatting>
  <dataValidations disablePrompts="1" xWindow="597" yWindow="553" count="8">
    <dataValidation type="list" allowBlank="1" showInputMessage="1" showErrorMessage="1" errorTitle="Invalid Code" error="Must be Y or N" promptTitle="Data OK?" prompt="Select Code or Type Letter_x000a_Y Yes if OK_x000a_Otherwise N (default) &amp; explain in comments below" sqref="G79" xr:uid="{00000000-0002-0000-0000-000000000000}">
      <formula1>$B$107:$B$108</formula1>
    </dataValidation>
    <dataValidation type="list" allowBlank="1" showInputMessage="1" showErrorMessage="1" errorTitle="Invalid Code" error="Must be Y or N" promptTitle="Terminiation Indicator" prompt="Select Code or Type Letter_x000a_Y for Termination During the Year_x000a_Otherwise N (default)" sqref="B30" xr:uid="{00000000-0002-0000-0000-000001000000}">
      <formula1>$B$107:$B$108</formula1>
    </dataValidation>
    <dataValidation type="list" allowBlank="1" showInputMessage="1" showErrorMessage="1" errorTitle="Invalid Code" error="Must be Y or N" promptTitle="Segregated Pension Assets" prompt="Select Code or Type Letter_x000a_Y for if there are_x000a_Otherwise N (Default)" sqref="B33" xr:uid="{00000000-0002-0000-0000-000002000000}">
      <formula1>$B$107:$B$108</formula1>
    </dataValidation>
    <dataValidation type="list" allowBlank="1" showInputMessage="1" showErrorMessage="1" errorTitle="Invalid State" error="Choose valid State" promptTitle="State" prompt="Select Code or Type Letters_x000a_ACT_x000a_NSW_x000a_QLD_x000a_SA_x000a_TAS_x000a_VIC_x000a_WA" sqref="B16" xr:uid="{00000000-0002-0000-0000-000003000000}">
      <formula1>$B$98:$B$105</formula1>
    </dataValidation>
    <dataValidation type="date" operator="lessThan" allowBlank="1" showInputMessage="1" showErrorMessage="1" errorTitle="Invalid Date" error="Outside age range" promptTitle="Date of birth" prompt="dd/mm/yyyy format" sqref="B40:E40" xr:uid="{00000000-0002-0000-0000-000004000000}">
      <formula1>40360</formula1>
    </dataValidation>
    <dataValidation type="list" allowBlank="1" showInputMessage="1" showErrorMessage="1" errorTitle="Invalid Code" error="Must be Y or N" promptTitle="Pension Shortfall Payment" prompt="Select Code or Type Letter_x000a_Y for if there was a pension shortfall payment Otherwise N (Default)_x000a_Required conditions for a shortfall payment include:_x000a_honest mistake_x000a_underpayment less than 1/12 of the min_x000a_always met min in the past_x000a_catchup payment ASAP" sqref="B34" xr:uid="{00000000-0002-0000-0000-000005000000}">
      <formula1>$B$107:$B$108</formula1>
    </dataValidation>
    <dataValidation type="list" allowBlank="1" showInputMessage="1" showErrorMessage="1" errorTitle="Invalid Code" error="Must be Y or N" promptTitle="Segregate Over the Entire Year?" prompt="Select Code or Type Letter_x000a_Y for tax exempt percentage over whole year_x000a_Otherwise N - tax exempt percentage only while assets are unsegregated" sqref="B31" xr:uid="{C1CA94D1-335C-40FF-8008-96A4BCC2ADB1}">
      <formula1>$B$107:$B$108</formula1>
    </dataValidation>
    <dataValidation type="list" allowBlank="1" showInputMessage="1" showErrorMessage="1" errorTitle="Invalid Code" error="Must be Y or N" promptTitle="Disregarded Small Fund Assets?" prompt="Select Code or Type Letter_x000a_Y for if there are disregarded small fund assets ie a member in retirement phase has a total superannuation balance that exceed the transfer balance cap_x000a_Otherwise N (default)" sqref="B32" xr:uid="{E9D128DE-3F0A-4871-950E-F3EE2C7C7383}">
      <formula1>$B$107:$B$108</formula1>
    </dataValidation>
  </dataValidations>
  <hyperlinks>
    <hyperlink ref="A9:E9" r:id="rId1" display="Please return the completed spreadsheet request by email to paul@pbasuper.com.au (you can also click this sentence)" xr:uid="{00000000-0004-0000-0000-000000000000}"/>
  </hyperlinks>
  <pageMargins left="0.25" right="0.25" top="0.75" bottom="0.75" header="0.3" footer="0.3"/>
  <pageSetup paperSize="9" orientation="landscape"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P77"/>
  <sheetViews>
    <sheetView zoomScaleNormal="100" workbookViewId="0">
      <selection activeCell="A18" sqref="A18"/>
    </sheetView>
  </sheetViews>
  <sheetFormatPr defaultColWidth="9.1328125" defaultRowHeight="12.75" x14ac:dyDescent="0.35"/>
  <cols>
    <col min="1" max="1" width="11.73046875" customWidth="1"/>
    <col min="2" max="2" width="25.73046875" customWidth="1"/>
    <col min="3" max="7" width="11.73046875" customWidth="1"/>
    <col min="8" max="8" width="3.1328125" customWidth="1"/>
    <col min="9" max="9" width="11.73046875" customWidth="1"/>
    <col min="10" max="10" width="25.73046875" customWidth="1"/>
    <col min="11" max="16" width="11.73046875" customWidth="1"/>
  </cols>
  <sheetData>
    <row r="1" spans="1:16" ht="15" x14ac:dyDescent="0.4">
      <c r="A1" s="110" t="s">
        <v>254</v>
      </c>
    </row>
    <row r="2" spans="1:16" x14ac:dyDescent="0.35">
      <c r="A2" s="38"/>
      <c r="B2" s="38"/>
      <c r="C2" s="38"/>
      <c r="D2" s="38"/>
      <c r="E2" s="38"/>
      <c r="F2" s="38"/>
      <c r="G2" s="38"/>
      <c r="H2" s="38"/>
      <c r="I2" s="38"/>
      <c r="J2" s="38"/>
      <c r="K2" s="38"/>
      <c r="L2" s="38"/>
      <c r="M2" s="38"/>
      <c r="N2" s="38"/>
      <c r="O2" s="38"/>
      <c r="P2" s="38"/>
    </row>
    <row r="3" spans="1:16" x14ac:dyDescent="0.35">
      <c r="A3" s="88" t="s">
        <v>204</v>
      </c>
      <c r="B3" s="38"/>
      <c r="C3" s="38"/>
      <c r="D3" s="38"/>
      <c r="E3" s="38"/>
      <c r="F3" s="38"/>
      <c r="G3" s="38"/>
      <c r="H3" s="38"/>
      <c r="I3" s="38"/>
      <c r="J3" s="38"/>
      <c r="K3" s="38"/>
      <c r="L3" s="38"/>
      <c r="M3" s="38"/>
      <c r="N3" s="38"/>
      <c r="O3" s="38"/>
      <c r="P3" s="38"/>
    </row>
    <row r="4" spans="1:16" x14ac:dyDescent="0.35">
      <c r="A4" s="89" t="s">
        <v>272</v>
      </c>
      <c r="B4" s="38"/>
      <c r="C4" s="38"/>
      <c r="D4" s="38"/>
      <c r="E4" s="38"/>
      <c r="F4" s="38"/>
      <c r="G4" s="38"/>
      <c r="H4" s="38"/>
      <c r="I4" s="38"/>
      <c r="J4" s="38"/>
      <c r="K4" s="38"/>
      <c r="L4" s="38"/>
      <c r="M4" s="38"/>
      <c r="N4" s="38"/>
      <c r="O4" s="38"/>
      <c r="P4" s="38"/>
    </row>
    <row r="5" spans="1:16" x14ac:dyDescent="0.35">
      <c r="A5" s="56" t="s">
        <v>235</v>
      </c>
      <c r="B5" s="38"/>
      <c r="C5" s="38"/>
      <c r="D5" s="38"/>
      <c r="E5" s="38"/>
      <c r="F5" s="38"/>
      <c r="G5" s="38"/>
      <c r="H5" s="38"/>
      <c r="I5" s="38"/>
      <c r="J5" s="38"/>
      <c r="K5" s="38"/>
      <c r="L5" s="38"/>
      <c r="M5" s="38"/>
      <c r="N5" s="38"/>
      <c r="O5" s="38"/>
      <c r="P5" s="38"/>
    </row>
    <row r="6" spans="1:16" x14ac:dyDescent="0.35">
      <c r="A6" s="89" t="s">
        <v>238</v>
      </c>
      <c r="B6" s="38"/>
      <c r="C6" s="38"/>
      <c r="D6" s="38"/>
      <c r="E6" s="38"/>
      <c r="F6" s="38"/>
      <c r="G6" s="38"/>
      <c r="H6" s="38"/>
      <c r="I6" s="38"/>
      <c r="J6" s="38"/>
      <c r="K6" s="38"/>
      <c r="L6" s="38"/>
      <c r="M6" s="38"/>
      <c r="N6" s="38"/>
      <c r="O6" s="38"/>
      <c r="P6" s="38"/>
    </row>
    <row r="7" spans="1:16" x14ac:dyDescent="0.35">
      <c r="A7" s="89" t="s">
        <v>248</v>
      </c>
      <c r="B7" s="38"/>
      <c r="C7" s="38"/>
      <c r="D7" s="38"/>
      <c r="E7" s="38"/>
      <c r="F7" s="38"/>
      <c r="G7" s="38"/>
      <c r="H7" s="38"/>
      <c r="I7" s="38"/>
      <c r="J7" s="38"/>
      <c r="K7" s="38"/>
      <c r="L7" s="38"/>
      <c r="M7" s="38"/>
      <c r="N7" s="38"/>
      <c r="O7" s="38"/>
      <c r="P7" s="38"/>
    </row>
    <row r="8" spans="1:16" x14ac:dyDescent="0.35">
      <c r="A8" s="128" t="s">
        <v>203</v>
      </c>
      <c r="B8" s="38"/>
      <c r="C8" s="38"/>
      <c r="D8" s="38"/>
      <c r="E8" s="38"/>
      <c r="F8" s="38"/>
      <c r="G8" s="38"/>
      <c r="H8" s="38"/>
      <c r="I8" s="38"/>
      <c r="J8" s="38"/>
      <c r="K8" s="38"/>
      <c r="L8" s="38"/>
      <c r="M8" s="38"/>
      <c r="N8" s="38"/>
      <c r="O8" s="38"/>
      <c r="P8" s="38"/>
    </row>
    <row r="9" spans="1:16" x14ac:dyDescent="0.35">
      <c r="A9" s="89" t="s">
        <v>227</v>
      </c>
      <c r="B9" s="38"/>
      <c r="C9" s="38"/>
      <c r="D9" s="38"/>
      <c r="E9" s="38"/>
      <c r="F9" s="38"/>
      <c r="G9" s="38"/>
      <c r="H9" s="38"/>
      <c r="I9" s="38"/>
      <c r="J9" s="38"/>
      <c r="K9" s="38"/>
      <c r="L9" s="38"/>
      <c r="M9" s="38"/>
      <c r="N9" s="38"/>
      <c r="O9" s="38"/>
      <c r="P9" s="38"/>
    </row>
    <row r="10" spans="1:16" x14ac:dyDescent="0.35">
      <c r="A10" s="90" t="str">
        <f>Check!B82</f>
        <v/>
      </c>
      <c r="B10" s="38"/>
      <c r="C10" s="38"/>
      <c r="D10" s="38"/>
      <c r="E10" s="38"/>
      <c r="F10" s="38"/>
      <c r="G10" s="38"/>
      <c r="H10" s="38"/>
      <c r="I10" s="55" t="str">
        <f>Check!B83</f>
        <v/>
      </c>
      <c r="J10" s="38"/>
      <c r="K10" s="38"/>
      <c r="L10" s="38"/>
      <c r="M10" s="38"/>
      <c r="N10" s="38"/>
      <c r="O10" s="38"/>
      <c r="P10" s="38"/>
    </row>
    <row r="11" spans="1:16" x14ac:dyDescent="0.35">
      <c r="A11" s="36"/>
      <c r="B11" s="36"/>
      <c r="C11" s="36"/>
      <c r="D11" s="170" t="s">
        <v>288</v>
      </c>
      <c r="E11" s="171"/>
      <c r="F11" s="171"/>
      <c r="G11" s="171"/>
      <c r="H11" s="91"/>
      <c r="I11" s="36"/>
      <c r="J11" s="36"/>
      <c r="K11" s="36"/>
      <c r="L11" s="174" t="s">
        <v>290</v>
      </c>
      <c r="M11" s="168"/>
      <c r="N11" s="168"/>
      <c r="O11" s="168"/>
      <c r="P11" s="169"/>
    </row>
    <row r="12" spans="1:16" x14ac:dyDescent="0.35">
      <c r="A12" s="36"/>
      <c r="B12" s="36"/>
      <c r="C12" s="36"/>
      <c r="D12" s="136" t="s">
        <v>96</v>
      </c>
      <c r="E12" s="136" t="s">
        <v>97</v>
      </c>
      <c r="F12" s="136" t="s">
        <v>165</v>
      </c>
      <c r="G12" s="136" t="s">
        <v>98</v>
      </c>
      <c r="H12" s="36"/>
      <c r="I12" s="36"/>
      <c r="J12" s="36"/>
      <c r="K12" s="36"/>
      <c r="L12" s="136" t="s">
        <v>67</v>
      </c>
      <c r="M12" s="136" t="s">
        <v>68</v>
      </c>
      <c r="N12" s="136" t="s">
        <v>69</v>
      </c>
      <c r="O12" s="136" t="s">
        <v>70</v>
      </c>
      <c r="P12" s="136" t="s">
        <v>94</v>
      </c>
    </row>
    <row r="13" spans="1:16" x14ac:dyDescent="0.35">
      <c r="A13" s="90" t="str">
        <f>IF(Check!B55&lt;&gt;"",Check!B55,"")</f>
        <v/>
      </c>
      <c r="B13" s="36"/>
      <c r="C13" s="36"/>
      <c r="D13" s="137" t="str">
        <f>IF('Fund &amp; Member Details'!B47&lt;&gt;"",'Fund &amp; Member Details'!B47,"N/A")</f>
        <v>N/A</v>
      </c>
      <c r="E13" s="137" t="str">
        <f>IF('Fund &amp; Member Details'!C47&lt;&gt;"",'Fund &amp; Member Details'!C47,"N/A")</f>
        <v>N/A</v>
      </c>
      <c r="F13" s="137" t="str">
        <f>IF('Fund &amp; Member Details'!D47&lt;&gt;"",'Fund &amp; Member Details'!D47,"N/A")</f>
        <v>N/A</v>
      </c>
      <c r="G13" s="137" t="str">
        <f>IF('Fund &amp; Member Details'!E47&lt;&gt;"",'Fund &amp; Member Details'!E47,"N/A")</f>
        <v>N/A</v>
      </c>
      <c r="H13" s="36"/>
      <c r="I13" s="90" t="str">
        <f>IF(Check!B56&lt;&gt;"",Check!B56,"")</f>
        <v/>
      </c>
      <c r="J13" s="36"/>
      <c r="K13" s="36"/>
      <c r="L13" s="92" t="str">
        <f>IF('Fund &amp; Member Details'!B57&lt;&gt;"",'Fund &amp; Member Details'!B57,"N/A")</f>
        <v>N/A</v>
      </c>
      <c r="M13" s="92" t="str">
        <f>IF('Fund &amp; Member Details'!C57&lt;&gt;"",'Fund &amp; Member Details'!C57,"N/A")</f>
        <v>N/A</v>
      </c>
      <c r="N13" s="92" t="str">
        <f>IF('Fund &amp; Member Details'!D57&lt;&gt;"",'Fund &amp; Member Details'!D57,"N/A")</f>
        <v>N/A</v>
      </c>
      <c r="O13" s="92" t="str">
        <f>IF('Fund &amp; Member Details'!E57&lt;&gt;"",'Fund &amp; Member Details'!E57,"N/A")</f>
        <v>N/A</v>
      </c>
      <c r="P13" s="93"/>
    </row>
    <row r="14" spans="1:16" x14ac:dyDescent="0.35">
      <c r="A14" s="36"/>
      <c r="B14" s="172" t="s">
        <v>168</v>
      </c>
      <c r="C14" s="173"/>
      <c r="D14" s="138">
        <f>ROUND('Fund &amp; Member Details'!B49+D47,2)</f>
        <v>0</v>
      </c>
      <c r="E14" s="138">
        <f>ROUND('Fund &amp; Member Details'!C49+E47,2)</f>
        <v>0</v>
      </c>
      <c r="F14" s="138">
        <f>ROUND('Fund &amp; Member Details'!D49+F47,2)</f>
        <v>0</v>
      </c>
      <c r="G14" s="138">
        <f>ROUND('Fund &amp; Member Details'!E49+G47,2)</f>
        <v>0</v>
      </c>
      <c r="H14" s="36"/>
      <c r="I14" s="36"/>
      <c r="J14" s="172" t="s">
        <v>168</v>
      </c>
      <c r="K14" s="173"/>
      <c r="L14" s="138">
        <f>ROUND('Fund &amp; Member Details'!B59+'Fund &amp; Member Details'!B60+L47,2)</f>
        <v>0</v>
      </c>
      <c r="M14" s="138">
        <f>ROUND('Fund &amp; Member Details'!C59+'Fund &amp; Member Details'!C60+M47,2)</f>
        <v>0</v>
      </c>
      <c r="N14" s="138">
        <f>ROUND('Fund &amp; Member Details'!D59+'Fund &amp; Member Details'!D60+N47,2)</f>
        <v>0</v>
      </c>
      <c r="O14" s="138">
        <f>ROUND('Fund &amp; Member Details'!E59+'Fund &amp; Member Details'!E60+O47,2)</f>
        <v>0</v>
      </c>
      <c r="P14" s="138">
        <f>ROUND('Fund &amp; Member Details'!F59+'Fund &amp; Member Details'!F60+P47,2)</f>
        <v>0</v>
      </c>
    </row>
    <row r="15" spans="1:16" x14ac:dyDescent="0.35">
      <c r="A15" s="94" t="s">
        <v>163</v>
      </c>
      <c r="B15" s="94" t="s">
        <v>61</v>
      </c>
      <c r="C15" s="94" t="s">
        <v>164</v>
      </c>
      <c r="D15" s="135" t="s">
        <v>166</v>
      </c>
      <c r="E15" s="135" t="s">
        <v>166</v>
      </c>
      <c r="F15" s="135" t="s">
        <v>166</v>
      </c>
      <c r="G15" s="135"/>
      <c r="H15" s="36"/>
      <c r="I15" s="94" t="s">
        <v>163</v>
      </c>
      <c r="J15" s="94" t="s">
        <v>61</v>
      </c>
      <c r="K15" s="94" t="s">
        <v>164</v>
      </c>
      <c r="L15" s="94" t="s">
        <v>166</v>
      </c>
      <c r="M15" s="94" t="s">
        <v>166</v>
      </c>
      <c r="N15" s="94" t="s">
        <v>166</v>
      </c>
      <c r="O15" s="94"/>
      <c r="P15" s="94" t="s">
        <v>166</v>
      </c>
    </row>
    <row r="16" spans="1:16" x14ac:dyDescent="0.35">
      <c r="A16" s="95" t="s">
        <v>155</v>
      </c>
      <c r="B16" s="96" t="str">
        <f>IF(A16&lt;&gt;"",VLOOKUP(A16,$B$72:$C$75,2,FALSE),"")</f>
        <v>Pension Payment</v>
      </c>
      <c r="C16" s="96" t="s">
        <v>167</v>
      </c>
      <c r="D16" s="65"/>
      <c r="E16" s="65"/>
      <c r="F16" s="65"/>
      <c r="G16" s="65"/>
      <c r="H16" s="38"/>
      <c r="I16" s="95" t="s">
        <v>157</v>
      </c>
      <c r="J16" s="96" t="str">
        <f>IF(I16&lt;&gt;"",VLOOKUP(I16,$E$72:$F$76,2,FALSE),"")</f>
        <v>Contribution</v>
      </c>
      <c r="K16" s="96" t="s">
        <v>167</v>
      </c>
      <c r="L16" s="104"/>
      <c r="M16" s="104"/>
      <c r="N16" s="104"/>
      <c r="O16" s="104"/>
      <c r="P16" s="65"/>
    </row>
    <row r="17" spans="1:16" x14ac:dyDescent="0.35">
      <c r="A17" s="95" t="s">
        <v>160</v>
      </c>
      <c r="B17" s="96" t="str">
        <f>IF(A17&lt;&gt;"",VLOOKUP(A17,$B$72:$C$75,2,FALSE),"")</f>
        <v>Other</v>
      </c>
      <c r="C17" s="96" t="s">
        <v>167</v>
      </c>
      <c r="D17" s="65"/>
      <c r="E17" s="65"/>
      <c r="F17" s="65"/>
      <c r="G17" s="65"/>
      <c r="H17" s="38"/>
      <c r="I17" s="95" t="s">
        <v>155</v>
      </c>
      <c r="J17" s="96" t="str">
        <f>IF(I17&lt;&gt;"",VLOOKUP(I17,$E$72:$F$76,2,FALSE),"")</f>
        <v>Pension Payment</v>
      </c>
      <c r="K17" s="96" t="s">
        <v>167</v>
      </c>
      <c r="L17" s="104"/>
      <c r="M17" s="104"/>
      <c r="N17" s="104"/>
      <c r="O17" s="104"/>
      <c r="P17" s="104"/>
    </row>
    <row r="18" spans="1:16" x14ac:dyDescent="0.35">
      <c r="A18" s="65"/>
      <c r="B18" s="96" t="str">
        <f t="shared" ref="B18:B46" si="0">IF(A18&lt;&gt;"",VLOOKUP(A18,$B$72:$C$75,2,FALSE),"")</f>
        <v/>
      </c>
      <c r="C18" s="102"/>
      <c r="D18" s="65"/>
      <c r="E18" s="65"/>
      <c r="F18" s="65"/>
      <c r="G18" s="65"/>
      <c r="H18" s="38"/>
      <c r="I18" s="95" t="s">
        <v>160</v>
      </c>
      <c r="J18" s="96" t="str">
        <f>IF(I18&lt;&gt;"",VLOOKUP(I18,$E$72:$F$76,2,FALSE),"")</f>
        <v>Other</v>
      </c>
      <c r="K18" s="96" t="s">
        <v>167</v>
      </c>
      <c r="L18" s="104"/>
      <c r="M18" s="104"/>
      <c r="N18" s="104"/>
      <c r="O18" s="104"/>
      <c r="P18" s="104"/>
    </row>
    <row r="19" spans="1:16" x14ac:dyDescent="0.35">
      <c r="A19" s="65"/>
      <c r="B19" s="96" t="str">
        <f t="shared" si="0"/>
        <v/>
      </c>
      <c r="C19" s="102"/>
      <c r="D19" s="65"/>
      <c r="E19" s="65"/>
      <c r="F19" s="65"/>
      <c r="G19" s="65"/>
      <c r="H19" s="38"/>
      <c r="I19" s="65"/>
      <c r="J19" s="96" t="str">
        <f t="shared" ref="J19:J46" si="1">IF(I19&lt;&gt;"",VLOOKUP(I19,$E$72:$F$76,2,FALSE),"")</f>
        <v/>
      </c>
      <c r="K19" s="102"/>
      <c r="L19" s="65"/>
      <c r="M19" s="65"/>
      <c r="N19" s="65"/>
      <c r="O19" s="65"/>
      <c r="P19" s="104"/>
    </row>
    <row r="20" spans="1:16" x14ac:dyDescent="0.35">
      <c r="A20" s="65"/>
      <c r="B20" s="96" t="str">
        <f t="shared" si="0"/>
        <v/>
      </c>
      <c r="C20" s="102"/>
      <c r="D20" s="65"/>
      <c r="E20" s="65"/>
      <c r="F20" s="65"/>
      <c r="G20" s="65"/>
      <c r="H20" s="38"/>
      <c r="I20" s="65"/>
      <c r="J20" s="96" t="str">
        <f t="shared" si="1"/>
        <v/>
      </c>
      <c r="K20" s="102"/>
      <c r="L20" s="65"/>
      <c r="M20" s="65"/>
      <c r="N20" s="65"/>
      <c r="O20" s="65"/>
      <c r="P20" s="65"/>
    </row>
    <row r="21" spans="1:16" x14ac:dyDescent="0.35">
      <c r="A21" s="65"/>
      <c r="B21" s="96" t="str">
        <f t="shared" si="0"/>
        <v/>
      </c>
      <c r="C21" s="102"/>
      <c r="D21" s="65"/>
      <c r="E21" s="65"/>
      <c r="F21" s="65"/>
      <c r="G21" s="65"/>
      <c r="H21" s="38"/>
      <c r="I21" s="65"/>
      <c r="J21" s="96" t="str">
        <f t="shared" si="1"/>
        <v/>
      </c>
      <c r="K21" s="102"/>
      <c r="L21" s="65"/>
      <c r="M21" s="65"/>
      <c r="N21" s="65"/>
      <c r="O21" s="65"/>
      <c r="P21" s="65"/>
    </row>
    <row r="22" spans="1:16" x14ac:dyDescent="0.35">
      <c r="A22" s="65"/>
      <c r="B22" s="96" t="str">
        <f t="shared" si="0"/>
        <v/>
      </c>
      <c r="C22" s="102"/>
      <c r="D22" s="65"/>
      <c r="E22" s="65"/>
      <c r="F22" s="65"/>
      <c r="G22" s="65"/>
      <c r="H22" s="38"/>
      <c r="I22" s="65"/>
      <c r="J22" s="96" t="str">
        <f t="shared" si="1"/>
        <v/>
      </c>
      <c r="K22" s="102"/>
      <c r="L22" s="65"/>
      <c r="M22" s="65"/>
      <c r="N22" s="104"/>
      <c r="O22" s="104"/>
      <c r="P22" s="65"/>
    </row>
    <row r="23" spans="1:16" x14ac:dyDescent="0.35">
      <c r="A23" s="65"/>
      <c r="B23" s="96" t="str">
        <f t="shared" si="0"/>
        <v/>
      </c>
      <c r="C23" s="102"/>
      <c r="D23" s="65"/>
      <c r="E23" s="65"/>
      <c r="F23" s="65"/>
      <c r="G23" s="65"/>
      <c r="H23" s="38"/>
      <c r="I23" s="65"/>
      <c r="J23" s="96" t="str">
        <f t="shared" si="1"/>
        <v/>
      </c>
      <c r="K23" s="102"/>
      <c r="L23" s="104"/>
      <c r="M23" s="65"/>
      <c r="N23" s="104"/>
      <c r="O23" s="104"/>
      <c r="P23" s="65"/>
    </row>
    <row r="24" spans="1:16" x14ac:dyDescent="0.35">
      <c r="A24" s="65"/>
      <c r="B24" s="96" t="str">
        <f t="shared" si="0"/>
        <v/>
      </c>
      <c r="C24" s="102"/>
      <c r="D24" s="65"/>
      <c r="E24" s="65"/>
      <c r="F24" s="65"/>
      <c r="G24" s="65"/>
      <c r="H24" s="38"/>
      <c r="I24" s="65"/>
      <c r="J24" s="96" t="str">
        <f t="shared" si="1"/>
        <v/>
      </c>
      <c r="K24" s="102"/>
      <c r="L24" s="104"/>
      <c r="M24" s="65"/>
      <c r="N24" s="104"/>
      <c r="O24" s="104"/>
      <c r="P24" s="65"/>
    </row>
    <row r="25" spans="1:16" x14ac:dyDescent="0.35">
      <c r="A25" s="65"/>
      <c r="B25" s="96" t="str">
        <f t="shared" si="0"/>
        <v/>
      </c>
      <c r="C25" s="102"/>
      <c r="D25" s="65"/>
      <c r="E25" s="65"/>
      <c r="F25" s="65"/>
      <c r="G25" s="65"/>
      <c r="H25" s="38"/>
      <c r="I25" s="65"/>
      <c r="J25" s="96" t="str">
        <f t="shared" si="1"/>
        <v/>
      </c>
      <c r="K25" s="102"/>
      <c r="L25" s="104"/>
      <c r="M25" s="65"/>
      <c r="N25" s="104"/>
      <c r="O25" s="104"/>
      <c r="P25" s="65"/>
    </row>
    <row r="26" spans="1:16" x14ac:dyDescent="0.35">
      <c r="A26" s="65"/>
      <c r="B26" s="96" t="str">
        <f t="shared" si="0"/>
        <v/>
      </c>
      <c r="C26" s="102"/>
      <c r="D26" s="65"/>
      <c r="E26" s="65"/>
      <c r="F26" s="65"/>
      <c r="G26" s="65"/>
      <c r="H26" s="38"/>
      <c r="I26" s="65"/>
      <c r="J26" s="96" t="str">
        <f t="shared" si="1"/>
        <v/>
      </c>
      <c r="K26" s="102"/>
      <c r="L26" s="104"/>
      <c r="M26" s="65"/>
      <c r="N26" s="104"/>
      <c r="O26" s="104"/>
      <c r="P26" s="65"/>
    </row>
    <row r="27" spans="1:16" x14ac:dyDescent="0.35">
      <c r="A27" s="65"/>
      <c r="B27" s="96" t="str">
        <f t="shared" si="0"/>
        <v/>
      </c>
      <c r="C27" s="102"/>
      <c r="D27" s="65"/>
      <c r="E27" s="65"/>
      <c r="F27" s="65"/>
      <c r="G27" s="65"/>
      <c r="H27" s="38"/>
      <c r="I27" s="65"/>
      <c r="J27" s="96" t="str">
        <f t="shared" si="1"/>
        <v/>
      </c>
      <c r="K27" s="102"/>
      <c r="L27" s="104"/>
      <c r="M27" s="65"/>
      <c r="N27" s="104"/>
      <c r="O27" s="104"/>
      <c r="P27" s="65"/>
    </row>
    <row r="28" spans="1:16" x14ac:dyDescent="0.35">
      <c r="A28" s="65"/>
      <c r="B28" s="96" t="str">
        <f t="shared" si="0"/>
        <v/>
      </c>
      <c r="C28" s="102"/>
      <c r="D28" s="65"/>
      <c r="E28" s="65"/>
      <c r="F28" s="65"/>
      <c r="G28" s="65"/>
      <c r="H28" s="38"/>
      <c r="I28" s="65"/>
      <c r="J28" s="96" t="str">
        <f t="shared" si="1"/>
        <v/>
      </c>
      <c r="K28" s="102"/>
      <c r="L28" s="104"/>
      <c r="M28" s="65"/>
      <c r="N28" s="104"/>
      <c r="O28" s="104"/>
      <c r="P28" s="65"/>
    </row>
    <row r="29" spans="1:16" x14ac:dyDescent="0.35">
      <c r="A29" s="65"/>
      <c r="B29" s="96" t="str">
        <f t="shared" si="0"/>
        <v/>
      </c>
      <c r="C29" s="102"/>
      <c r="D29" s="65"/>
      <c r="E29" s="65"/>
      <c r="F29" s="65"/>
      <c r="G29" s="65"/>
      <c r="H29" s="38"/>
      <c r="I29" s="65"/>
      <c r="J29" s="96" t="str">
        <f t="shared" si="1"/>
        <v/>
      </c>
      <c r="K29" s="102"/>
      <c r="L29" s="104"/>
      <c r="M29" s="65"/>
      <c r="N29" s="104"/>
      <c r="O29" s="104"/>
      <c r="P29" s="65"/>
    </row>
    <row r="30" spans="1:16" x14ac:dyDescent="0.35">
      <c r="A30" s="65"/>
      <c r="B30" s="96" t="str">
        <f t="shared" si="0"/>
        <v/>
      </c>
      <c r="C30" s="102"/>
      <c r="D30" s="65"/>
      <c r="E30" s="65"/>
      <c r="F30" s="65"/>
      <c r="G30" s="65"/>
      <c r="H30" s="38"/>
      <c r="I30" s="65"/>
      <c r="J30" s="96" t="str">
        <f t="shared" si="1"/>
        <v/>
      </c>
      <c r="K30" s="102"/>
      <c r="L30" s="104"/>
      <c r="M30" s="65"/>
      <c r="N30" s="104"/>
      <c r="O30" s="104"/>
      <c r="P30" s="65"/>
    </row>
    <row r="31" spans="1:16" x14ac:dyDescent="0.35">
      <c r="A31" s="65"/>
      <c r="B31" s="96" t="str">
        <f t="shared" si="0"/>
        <v/>
      </c>
      <c r="C31" s="102"/>
      <c r="D31" s="65"/>
      <c r="E31" s="65"/>
      <c r="F31" s="65"/>
      <c r="G31" s="65"/>
      <c r="H31" s="38"/>
      <c r="I31" s="65"/>
      <c r="J31" s="96" t="str">
        <f t="shared" si="1"/>
        <v/>
      </c>
      <c r="K31" s="102"/>
      <c r="L31" s="104"/>
      <c r="M31" s="65"/>
      <c r="N31" s="104"/>
      <c r="O31" s="104"/>
      <c r="P31" s="65"/>
    </row>
    <row r="32" spans="1:16" x14ac:dyDescent="0.35">
      <c r="A32" s="65"/>
      <c r="B32" s="96" t="str">
        <f t="shared" si="0"/>
        <v/>
      </c>
      <c r="C32" s="102"/>
      <c r="D32" s="65"/>
      <c r="E32" s="65"/>
      <c r="F32" s="65"/>
      <c r="G32" s="65"/>
      <c r="H32" s="38"/>
      <c r="I32" s="65"/>
      <c r="J32" s="96" t="str">
        <f t="shared" si="1"/>
        <v/>
      </c>
      <c r="K32" s="102"/>
      <c r="L32" s="104"/>
      <c r="M32" s="65"/>
      <c r="N32" s="104"/>
      <c r="O32" s="104"/>
      <c r="P32" s="65"/>
    </row>
    <row r="33" spans="1:16" x14ac:dyDescent="0.35">
      <c r="A33" s="65"/>
      <c r="B33" s="96" t="str">
        <f t="shared" si="0"/>
        <v/>
      </c>
      <c r="C33" s="102"/>
      <c r="D33" s="65"/>
      <c r="E33" s="65"/>
      <c r="F33" s="65"/>
      <c r="G33" s="65"/>
      <c r="H33" s="38"/>
      <c r="I33" s="65"/>
      <c r="J33" s="96" t="str">
        <f t="shared" si="1"/>
        <v/>
      </c>
      <c r="K33" s="102"/>
      <c r="L33" s="104"/>
      <c r="M33" s="65"/>
      <c r="N33" s="104"/>
      <c r="O33" s="104"/>
      <c r="P33" s="65"/>
    </row>
    <row r="34" spans="1:16" x14ac:dyDescent="0.35">
      <c r="A34" s="65"/>
      <c r="B34" s="96" t="str">
        <f t="shared" si="0"/>
        <v/>
      </c>
      <c r="C34" s="102"/>
      <c r="D34" s="65"/>
      <c r="E34" s="65"/>
      <c r="F34" s="65"/>
      <c r="G34" s="65"/>
      <c r="H34" s="38"/>
      <c r="I34" s="65"/>
      <c r="J34" s="96" t="str">
        <f t="shared" si="1"/>
        <v/>
      </c>
      <c r="K34" s="102"/>
      <c r="L34" s="104"/>
      <c r="M34" s="65"/>
      <c r="N34" s="104"/>
      <c r="O34" s="104"/>
      <c r="P34" s="65"/>
    </row>
    <row r="35" spans="1:16" x14ac:dyDescent="0.35">
      <c r="A35" s="65"/>
      <c r="B35" s="96" t="str">
        <f t="shared" si="0"/>
        <v/>
      </c>
      <c r="C35" s="102"/>
      <c r="D35" s="65"/>
      <c r="E35" s="65"/>
      <c r="F35" s="65"/>
      <c r="G35" s="65"/>
      <c r="H35" s="38"/>
      <c r="I35" s="65"/>
      <c r="J35" s="96" t="str">
        <f t="shared" si="1"/>
        <v/>
      </c>
      <c r="K35" s="102"/>
      <c r="L35" s="104"/>
      <c r="M35" s="65"/>
      <c r="N35" s="104"/>
      <c r="O35" s="104"/>
      <c r="P35" s="65"/>
    </row>
    <row r="36" spans="1:16" x14ac:dyDescent="0.35">
      <c r="A36" s="65"/>
      <c r="B36" s="96" t="str">
        <f t="shared" si="0"/>
        <v/>
      </c>
      <c r="C36" s="102"/>
      <c r="D36" s="65"/>
      <c r="E36" s="65"/>
      <c r="F36" s="65"/>
      <c r="G36" s="65"/>
      <c r="H36" s="38"/>
      <c r="I36" s="65"/>
      <c r="J36" s="96" t="str">
        <f t="shared" si="1"/>
        <v/>
      </c>
      <c r="K36" s="102"/>
      <c r="L36" s="104"/>
      <c r="M36" s="65"/>
      <c r="N36" s="104"/>
      <c r="O36" s="104"/>
      <c r="P36" s="65"/>
    </row>
    <row r="37" spans="1:16" x14ac:dyDescent="0.35">
      <c r="A37" s="65"/>
      <c r="B37" s="96" t="str">
        <f t="shared" si="0"/>
        <v/>
      </c>
      <c r="C37" s="102"/>
      <c r="D37" s="65"/>
      <c r="E37" s="65"/>
      <c r="F37" s="65"/>
      <c r="G37" s="65"/>
      <c r="H37" s="38"/>
      <c r="I37" s="65"/>
      <c r="J37" s="96" t="str">
        <f t="shared" si="1"/>
        <v/>
      </c>
      <c r="K37" s="102"/>
      <c r="L37" s="104"/>
      <c r="M37" s="65"/>
      <c r="N37" s="104"/>
      <c r="O37" s="104"/>
      <c r="P37" s="65"/>
    </row>
    <row r="38" spans="1:16" x14ac:dyDescent="0.35">
      <c r="A38" s="65"/>
      <c r="B38" s="96" t="str">
        <f t="shared" si="0"/>
        <v/>
      </c>
      <c r="C38" s="102"/>
      <c r="D38" s="65"/>
      <c r="E38" s="65"/>
      <c r="F38" s="65"/>
      <c r="G38" s="65"/>
      <c r="H38" s="38"/>
      <c r="I38" s="65"/>
      <c r="J38" s="96" t="str">
        <f t="shared" si="1"/>
        <v/>
      </c>
      <c r="K38" s="102"/>
      <c r="L38" s="104"/>
      <c r="M38" s="65"/>
      <c r="N38" s="104"/>
      <c r="O38" s="104"/>
      <c r="P38" s="65"/>
    </row>
    <row r="39" spans="1:16" x14ac:dyDescent="0.35">
      <c r="A39" s="65"/>
      <c r="B39" s="96" t="str">
        <f t="shared" si="0"/>
        <v/>
      </c>
      <c r="C39" s="102"/>
      <c r="D39" s="65"/>
      <c r="E39" s="65"/>
      <c r="F39" s="65"/>
      <c r="G39" s="65"/>
      <c r="H39" s="38"/>
      <c r="I39" s="65"/>
      <c r="J39" s="96" t="str">
        <f t="shared" si="1"/>
        <v/>
      </c>
      <c r="K39" s="102"/>
      <c r="L39" s="104"/>
      <c r="M39" s="65"/>
      <c r="N39" s="104"/>
      <c r="O39" s="104"/>
      <c r="P39" s="65"/>
    </row>
    <row r="40" spans="1:16" x14ac:dyDescent="0.35">
      <c r="A40" s="65"/>
      <c r="B40" s="96" t="str">
        <f t="shared" si="0"/>
        <v/>
      </c>
      <c r="C40" s="102"/>
      <c r="D40" s="65"/>
      <c r="E40" s="65"/>
      <c r="F40" s="65"/>
      <c r="G40" s="65"/>
      <c r="H40" s="38"/>
      <c r="I40" s="65"/>
      <c r="J40" s="96" t="str">
        <f t="shared" si="1"/>
        <v/>
      </c>
      <c r="K40" s="102"/>
      <c r="L40" s="104"/>
      <c r="M40" s="65"/>
      <c r="N40" s="104"/>
      <c r="O40" s="104"/>
      <c r="P40" s="65"/>
    </row>
    <row r="41" spans="1:16" x14ac:dyDescent="0.35">
      <c r="A41" s="65"/>
      <c r="B41" s="96" t="str">
        <f t="shared" si="0"/>
        <v/>
      </c>
      <c r="C41" s="102"/>
      <c r="D41" s="65"/>
      <c r="E41" s="65"/>
      <c r="F41" s="65"/>
      <c r="G41" s="65"/>
      <c r="H41" s="38"/>
      <c r="I41" s="65"/>
      <c r="J41" s="96" t="str">
        <f t="shared" si="1"/>
        <v/>
      </c>
      <c r="K41" s="102"/>
      <c r="L41" s="104"/>
      <c r="M41" s="65"/>
      <c r="N41" s="104"/>
      <c r="O41" s="104"/>
      <c r="P41" s="65"/>
    </row>
    <row r="42" spans="1:16" x14ac:dyDescent="0.35">
      <c r="A42" s="65"/>
      <c r="B42" s="96" t="str">
        <f t="shared" si="0"/>
        <v/>
      </c>
      <c r="C42" s="102"/>
      <c r="D42" s="65"/>
      <c r="E42" s="65"/>
      <c r="F42" s="65"/>
      <c r="G42" s="65"/>
      <c r="H42" s="38"/>
      <c r="I42" s="65"/>
      <c r="J42" s="96" t="str">
        <f t="shared" si="1"/>
        <v/>
      </c>
      <c r="K42" s="102"/>
      <c r="L42" s="104"/>
      <c r="M42" s="65"/>
      <c r="N42" s="104"/>
      <c r="O42" s="104"/>
      <c r="P42" s="65"/>
    </row>
    <row r="43" spans="1:16" x14ac:dyDescent="0.35">
      <c r="A43" s="65"/>
      <c r="B43" s="96" t="str">
        <f t="shared" si="0"/>
        <v/>
      </c>
      <c r="C43" s="102"/>
      <c r="D43" s="65"/>
      <c r="E43" s="65"/>
      <c r="F43" s="65"/>
      <c r="G43" s="65"/>
      <c r="H43" s="38"/>
      <c r="I43" s="65"/>
      <c r="J43" s="96" t="str">
        <f t="shared" si="1"/>
        <v/>
      </c>
      <c r="K43" s="102"/>
      <c r="L43" s="104"/>
      <c r="M43" s="65"/>
      <c r="N43" s="104"/>
      <c r="O43" s="104"/>
      <c r="P43" s="65"/>
    </row>
    <row r="44" spans="1:16" x14ac:dyDescent="0.35">
      <c r="A44" s="65"/>
      <c r="B44" s="96" t="str">
        <f t="shared" si="0"/>
        <v/>
      </c>
      <c r="C44" s="102"/>
      <c r="D44" s="65"/>
      <c r="E44" s="65"/>
      <c r="F44" s="65"/>
      <c r="G44" s="65"/>
      <c r="H44" s="38"/>
      <c r="I44" s="65"/>
      <c r="J44" s="96" t="str">
        <f t="shared" si="1"/>
        <v/>
      </c>
      <c r="K44" s="102"/>
      <c r="L44" s="104"/>
      <c r="M44" s="65"/>
      <c r="N44" s="104"/>
      <c r="O44" s="104"/>
      <c r="P44" s="65"/>
    </row>
    <row r="45" spans="1:16" x14ac:dyDescent="0.35">
      <c r="A45" s="65"/>
      <c r="B45" s="96" t="str">
        <f t="shared" si="0"/>
        <v/>
      </c>
      <c r="C45" s="102"/>
      <c r="D45" s="65"/>
      <c r="E45" s="65"/>
      <c r="F45" s="65"/>
      <c r="G45" s="65"/>
      <c r="H45" s="38"/>
      <c r="I45" s="65"/>
      <c r="J45" s="96" t="str">
        <f t="shared" si="1"/>
        <v/>
      </c>
      <c r="K45" s="102"/>
      <c r="L45" s="104"/>
      <c r="M45" s="65"/>
      <c r="N45" s="104"/>
      <c r="O45" s="104"/>
      <c r="P45" s="65"/>
    </row>
    <row r="46" spans="1:16" ht="13.15" thickBot="1" x14ac:dyDescent="0.4">
      <c r="A46" s="65"/>
      <c r="B46" s="96" t="str">
        <f t="shared" si="0"/>
        <v/>
      </c>
      <c r="C46" s="102"/>
      <c r="D46" s="65"/>
      <c r="E46" s="65"/>
      <c r="F46" s="65"/>
      <c r="G46" s="65"/>
      <c r="H46" s="38"/>
      <c r="I46" s="65"/>
      <c r="J46" s="96" t="str">
        <f t="shared" si="1"/>
        <v/>
      </c>
      <c r="K46" s="102"/>
      <c r="L46" s="104"/>
      <c r="M46" s="65"/>
      <c r="N46" s="104"/>
      <c r="O46" s="104"/>
      <c r="P46" s="103"/>
    </row>
    <row r="47" spans="1:16" ht="13.5" thickTop="1" thickBot="1" x14ac:dyDescent="0.4">
      <c r="A47" s="97"/>
      <c r="B47" s="175" t="s">
        <v>169</v>
      </c>
      <c r="C47" s="176"/>
      <c r="D47" s="98">
        <f t="shared" ref="D47:G47" si="2">ROUND(SUM(D16:D46),2)</f>
        <v>0</v>
      </c>
      <c r="E47" s="98">
        <f t="shared" si="2"/>
        <v>0</v>
      </c>
      <c r="F47" s="98">
        <f t="shared" si="2"/>
        <v>0</v>
      </c>
      <c r="G47" s="98">
        <f t="shared" si="2"/>
        <v>0</v>
      </c>
      <c r="H47" s="38"/>
      <c r="I47" s="97"/>
      <c r="J47" s="175" t="s">
        <v>169</v>
      </c>
      <c r="K47" s="176"/>
      <c r="L47" s="98">
        <f t="shared" ref="L47:P47" si="3">ROUND(SUM(L16:L46),2)</f>
        <v>0</v>
      </c>
      <c r="M47" s="98">
        <f t="shared" si="3"/>
        <v>0</v>
      </c>
      <c r="N47" s="98">
        <f t="shared" si="3"/>
        <v>0</v>
      </c>
      <c r="O47" s="98">
        <f t="shared" si="3"/>
        <v>0</v>
      </c>
      <c r="P47" s="98">
        <f t="shared" si="3"/>
        <v>0</v>
      </c>
    </row>
    <row r="48" spans="1:16" ht="13.15" thickTop="1" x14ac:dyDescent="0.35">
      <c r="A48" s="55" t="str">
        <f>Check!B44</f>
        <v>There were no transfer outs during the year and therefore no need to complete the following section relating to balances after transfer.</v>
      </c>
      <c r="B48" s="38"/>
      <c r="C48" s="38"/>
      <c r="D48" s="38"/>
      <c r="E48" s="38"/>
      <c r="F48" s="38"/>
      <c r="G48" s="38"/>
      <c r="H48" s="38"/>
      <c r="I48" s="38"/>
      <c r="J48" s="38"/>
      <c r="K48" s="38"/>
      <c r="L48" s="38"/>
      <c r="M48" s="38"/>
      <c r="N48" s="38"/>
      <c r="O48" s="38"/>
      <c r="P48" s="38"/>
    </row>
    <row r="49" spans="1:16" x14ac:dyDescent="0.35">
      <c r="A49" s="55" t="str">
        <f>Check!B46</f>
        <v/>
      </c>
      <c r="B49" s="38"/>
      <c r="C49" s="38"/>
      <c r="D49" s="38"/>
      <c r="E49" s="38"/>
      <c r="F49" s="38"/>
      <c r="G49" s="38"/>
      <c r="H49" s="38"/>
      <c r="I49" s="38"/>
      <c r="J49" s="38"/>
      <c r="K49" s="38"/>
      <c r="L49" s="38"/>
      <c r="M49" s="38"/>
      <c r="N49" s="38"/>
      <c r="O49" s="38"/>
      <c r="P49" s="38"/>
    </row>
    <row r="50" spans="1:16" x14ac:dyDescent="0.35">
      <c r="A50" s="55" t="str">
        <f>Check!B45</f>
        <v/>
      </c>
    </row>
    <row r="51" spans="1:16" x14ac:dyDescent="0.35">
      <c r="A51" s="38"/>
      <c r="B51" s="38"/>
      <c r="C51" s="38"/>
      <c r="D51" s="166" t="s">
        <v>242</v>
      </c>
      <c r="E51" s="167"/>
      <c r="F51" s="167"/>
      <c r="G51" s="167"/>
      <c r="H51" s="38"/>
      <c r="I51" s="38"/>
      <c r="J51" s="38"/>
      <c r="K51" s="38"/>
      <c r="L51" s="166" t="s">
        <v>242</v>
      </c>
      <c r="M51" s="168"/>
      <c r="N51" s="168"/>
      <c r="O51" s="168"/>
      <c r="P51" s="169"/>
    </row>
    <row r="52" spans="1:16" x14ac:dyDescent="0.35">
      <c r="A52" s="99" t="s">
        <v>163</v>
      </c>
      <c r="B52" s="99" t="s">
        <v>190</v>
      </c>
      <c r="C52" s="99" t="s">
        <v>191</v>
      </c>
      <c r="D52" s="96" t="str">
        <f t="shared" ref="D52:G52" si="4">D13</f>
        <v>N/A</v>
      </c>
      <c r="E52" s="96" t="str">
        <f t="shared" si="4"/>
        <v>N/A</v>
      </c>
      <c r="F52" s="96" t="str">
        <f t="shared" si="4"/>
        <v>N/A</v>
      </c>
      <c r="G52" s="96" t="str">
        <f t="shared" si="4"/>
        <v>N/A</v>
      </c>
      <c r="H52" s="38"/>
      <c r="I52" s="99" t="s">
        <v>163</v>
      </c>
      <c r="J52" s="99" t="s">
        <v>190</v>
      </c>
      <c r="K52" s="99" t="s">
        <v>191</v>
      </c>
      <c r="L52" s="96" t="str">
        <f t="shared" ref="L52:O52" si="5">L13</f>
        <v>N/A</v>
      </c>
      <c r="M52" s="96" t="str">
        <f t="shared" si="5"/>
        <v>N/A</v>
      </c>
      <c r="N52" s="96" t="str">
        <f t="shared" si="5"/>
        <v>N/A</v>
      </c>
      <c r="O52" s="96" t="str">
        <f t="shared" si="5"/>
        <v>N/A</v>
      </c>
      <c r="P52" s="96" t="str">
        <f>'Fund &amp; Member Details'!F57</f>
        <v>Reserve</v>
      </c>
    </row>
    <row r="53" spans="1:16" x14ac:dyDescent="0.35">
      <c r="A53" s="65"/>
      <c r="B53" s="96" t="str">
        <f t="shared" ref="B53:B58" si="6">IF(A53&lt;&gt;"",VLOOKUP(A53,$I$72:$J$74,2,FALSE),"")</f>
        <v/>
      </c>
      <c r="C53" s="102"/>
      <c r="D53" s="65"/>
      <c r="E53" s="65"/>
      <c r="F53" s="65"/>
      <c r="G53" s="65"/>
      <c r="H53" s="38"/>
      <c r="I53" s="65"/>
      <c r="J53" s="96" t="str">
        <f>IF(I53&lt;&gt;"",VLOOKUP(I53,$M$72:N75,2,FALSE),"")</f>
        <v/>
      </c>
      <c r="K53" s="102"/>
      <c r="L53" s="65"/>
      <c r="M53" s="65"/>
      <c r="N53" s="65"/>
      <c r="O53" s="65"/>
      <c r="P53" s="65"/>
    </row>
    <row r="54" spans="1:16" x14ac:dyDescent="0.35">
      <c r="A54" s="65"/>
      <c r="B54" s="96" t="str">
        <f t="shared" si="6"/>
        <v/>
      </c>
      <c r="C54" s="102"/>
      <c r="D54" s="65"/>
      <c r="E54" s="65"/>
      <c r="F54" s="65"/>
      <c r="G54" s="65"/>
      <c r="H54" s="38"/>
      <c r="I54" s="65"/>
      <c r="J54" s="96" t="str">
        <f>IF(I54&lt;&gt;"",VLOOKUP(I54,$M$72:N76,2,FALSE),"")</f>
        <v/>
      </c>
      <c r="K54" s="102"/>
      <c r="L54" s="65"/>
      <c r="M54" s="65"/>
      <c r="N54" s="65"/>
      <c r="O54" s="65"/>
      <c r="P54" s="65"/>
    </row>
    <row r="55" spans="1:16" x14ac:dyDescent="0.35">
      <c r="A55" s="65"/>
      <c r="B55" s="96" t="str">
        <f t="shared" si="6"/>
        <v/>
      </c>
      <c r="C55" s="102"/>
      <c r="D55" s="65"/>
      <c r="E55" s="65"/>
      <c r="F55" s="65"/>
      <c r="G55" s="65"/>
      <c r="H55" s="38"/>
      <c r="I55" s="65"/>
      <c r="J55" s="96" t="str">
        <f>IF(I55&lt;&gt;"",VLOOKUP(I55,$M$72:N77,2,FALSE),"")</f>
        <v/>
      </c>
      <c r="K55" s="102"/>
      <c r="L55" s="65"/>
      <c r="M55" s="65"/>
      <c r="N55" s="65"/>
      <c r="O55" s="65"/>
      <c r="P55" s="65"/>
    </row>
    <row r="56" spans="1:16" x14ac:dyDescent="0.35">
      <c r="A56" s="65"/>
      <c r="B56" s="96" t="str">
        <f t="shared" si="6"/>
        <v/>
      </c>
      <c r="C56" s="102"/>
      <c r="D56" s="65"/>
      <c r="E56" s="65"/>
      <c r="F56" s="65"/>
      <c r="G56" s="65"/>
      <c r="H56" s="38"/>
      <c r="I56" s="65"/>
      <c r="J56" s="96" t="str">
        <f>IF(I56&lt;&gt;"",VLOOKUP(I56,$M$72:N78,2,FALSE),"")</f>
        <v/>
      </c>
      <c r="K56" s="102"/>
      <c r="L56" s="65"/>
      <c r="M56" s="65"/>
      <c r="N56" s="65"/>
      <c r="O56" s="65"/>
      <c r="P56" s="65"/>
    </row>
    <row r="57" spans="1:16" x14ac:dyDescent="0.35">
      <c r="A57" s="65"/>
      <c r="B57" s="96" t="str">
        <f t="shared" si="6"/>
        <v/>
      </c>
      <c r="C57" s="102"/>
      <c r="D57" s="65"/>
      <c r="E57" s="65"/>
      <c r="F57" s="65"/>
      <c r="G57" s="65"/>
      <c r="H57" s="38"/>
      <c r="I57" s="65"/>
      <c r="J57" s="96" t="str">
        <f>IF(I57&lt;&gt;"",VLOOKUP(I57,$M$72:N79,2,FALSE),"")</f>
        <v/>
      </c>
      <c r="K57" s="65"/>
      <c r="L57" s="65"/>
      <c r="M57" s="65"/>
      <c r="N57" s="65"/>
      <c r="O57" s="65"/>
      <c r="P57" s="65"/>
    </row>
    <row r="58" spans="1:16" x14ac:dyDescent="0.35">
      <c r="A58" s="65"/>
      <c r="B58" s="96" t="str">
        <f t="shared" si="6"/>
        <v/>
      </c>
      <c r="C58" s="102"/>
      <c r="D58" s="65"/>
      <c r="E58" s="65"/>
      <c r="F58" s="65"/>
      <c r="G58" s="65"/>
      <c r="H58" s="38"/>
      <c r="I58" s="65"/>
      <c r="J58" s="96" t="str">
        <f>IF(I58&lt;&gt;"",VLOOKUP(I58,$M$72:N80,2,FALSE),"")</f>
        <v/>
      </c>
      <c r="K58" s="102"/>
      <c r="L58" s="65"/>
      <c r="M58" s="65"/>
      <c r="N58" s="65"/>
      <c r="O58" s="65"/>
      <c r="P58" s="65"/>
    </row>
    <row r="59" spans="1:16" x14ac:dyDescent="0.35">
      <c r="A59" s="55" t="str">
        <f>Check!B53</f>
        <v/>
      </c>
      <c r="B59" s="38"/>
      <c r="C59" s="38"/>
      <c r="D59" s="38"/>
      <c r="E59" s="38"/>
      <c r="F59" s="38"/>
      <c r="G59" s="38"/>
      <c r="H59" s="38"/>
      <c r="I59" s="38"/>
      <c r="J59" s="38"/>
      <c r="K59" s="38"/>
      <c r="L59" s="38"/>
      <c r="M59" s="38"/>
      <c r="N59" s="38"/>
      <c r="O59" s="38"/>
      <c r="P59" s="38"/>
    </row>
    <row r="60" spans="1:16" x14ac:dyDescent="0.35">
      <c r="A60" s="58" t="s">
        <v>262</v>
      </c>
      <c r="B60" s="38"/>
      <c r="C60" s="38"/>
      <c r="D60" s="38"/>
      <c r="E60" s="38"/>
      <c r="F60" s="38"/>
      <c r="G60" s="38"/>
      <c r="H60" s="38"/>
      <c r="I60" s="38"/>
      <c r="J60" s="38"/>
      <c r="K60" s="38"/>
      <c r="L60" s="38"/>
      <c r="M60" s="38"/>
      <c r="N60" s="38"/>
      <c r="O60" s="38"/>
      <c r="P60" s="38"/>
    </row>
    <row r="61" spans="1:16" ht="13.15" thickBot="1" x14ac:dyDescent="0.4">
      <c r="A61" s="55" t="str">
        <f>Check!B54</f>
        <v/>
      </c>
      <c r="B61" s="38"/>
      <c r="C61" s="38"/>
      <c r="D61" s="38"/>
      <c r="E61" s="38"/>
      <c r="F61" s="38"/>
      <c r="G61" s="38"/>
      <c r="H61" s="38"/>
      <c r="I61" s="38"/>
      <c r="J61" s="38"/>
      <c r="K61" s="38"/>
      <c r="L61" s="38"/>
      <c r="M61" s="38"/>
      <c r="N61" s="38"/>
      <c r="O61" s="38"/>
      <c r="P61" s="38"/>
    </row>
    <row r="62" spans="1:16" ht="13.15" thickTop="1" x14ac:dyDescent="0.35">
      <c r="A62" s="87" t="s">
        <v>176</v>
      </c>
      <c r="B62" s="100"/>
      <c r="C62" s="100"/>
      <c r="D62" s="100"/>
      <c r="E62" s="100"/>
      <c r="F62" s="100"/>
      <c r="G62" s="101"/>
      <c r="I62" s="87" t="s">
        <v>176</v>
      </c>
      <c r="J62" s="100"/>
      <c r="K62" s="100"/>
      <c r="L62" s="100"/>
      <c r="M62" s="100"/>
      <c r="N62" s="100"/>
      <c r="O62" s="100"/>
      <c r="P62" s="101"/>
    </row>
    <row r="63" spans="1:16" x14ac:dyDescent="0.35">
      <c r="A63" s="164"/>
      <c r="B63" s="158"/>
      <c r="C63" s="158"/>
      <c r="D63" s="158"/>
      <c r="E63" s="158"/>
      <c r="F63" s="158"/>
      <c r="G63" s="159"/>
      <c r="I63" s="165"/>
      <c r="J63" s="158"/>
      <c r="K63" s="158"/>
      <c r="L63" s="158"/>
      <c r="M63" s="158"/>
      <c r="N63" s="158"/>
      <c r="O63" s="158"/>
      <c r="P63" s="159"/>
    </row>
    <row r="64" spans="1:16" x14ac:dyDescent="0.35">
      <c r="A64" s="160"/>
      <c r="B64" s="158"/>
      <c r="C64" s="158"/>
      <c r="D64" s="158"/>
      <c r="E64" s="158"/>
      <c r="F64" s="158"/>
      <c r="G64" s="159"/>
      <c r="I64" s="160"/>
      <c r="J64" s="158"/>
      <c r="K64" s="158"/>
      <c r="L64" s="158"/>
      <c r="M64" s="158"/>
      <c r="N64" s="158"/>
      <c r="O64" s="158"/>
      <c r="P64" s="159"/>
    </row>
    <row r="65" spans="1:16" x14ac:dyDescent="0.35">
      <c r="A65" s="160"/>
      <c r="B65" s="158"/>
      <c r="C65" s="158"/>
      <c r="D65" s="158"/>
      <c r="E65" s="158"/>
      <c r="F65" s="158"/>
      <c r="G65" s="159"/>
      <c r="I65" s="160"/>
      <c r="J65" s="158"/>
      <c r="K65" s="158"/>
      <c r="L65" s="158"/>
      <c r="M65" s="158"/>
      <c r="N65" s="158"/>
      <c r="O65" s="158"/>
      <c r="P65" s="159"/>
    </row>
    <row r="66" spans="1:16" x14ac:dyDescent="0.35">
      <c r="A66" s="160"/>
      <c r="B66" s="158"/>
      <c r="C66" s="158"/>
      <c r="D66" s="158"/>
      <c r="E66" s="158"/>
      <c r="F66" s="158"/>
      <c r="G66" s="159"/>
      <c r="I66" s="160"/>
      <c r="J66" s="158"/>
      <c r="K66" s="158"/>
      <c r="L66" s="158"/>
      <c r="M66" s="158"/>
      <c r="N66" s="158"/>
      <c r="O66" s="158"/>
      <c r="P66" s="159"/>
    </row>
    <row r="67" spans="1:16" ht="13.15" thickBot="1" x14ac:dyDescent="0.4">
      <c r="A67" s="161"/>
      <c r="B67" s="162"/>
      <c r="C67" s="162"/>
      <c r="D67" s="162"/>
      <c r="E67" s="162"/>
      <c r="F67" s="162"/>
      <c r="G67" s="163"/>
      <c r="I67" s="161"/>
      <c r="J67" s="162"/>
      <c r="K67" s="162"/>
      <c r="L67" s="162"/>
      <c r="M67" s="162"/>
      <c r="N67" s="162"/>
      <c r="O67" s="162"/>
      <c r="P67" s="163"/>
    </row>
    <row r="68" spans="1:16" ht="13.15" thickTop="1" x14ac:dyDescent="0.35"/>
    <row r="70" spans="1:16" hidden="1" x14ac:dyDescent="0.35"/>
    <row r="71" spans="1:16" hidden="1" x14ac:dyDescent="0.35">
      <c r="A71" s="23"/>
      <c r="B71" t="s">
        <v>46</v>
      </c>
      <c r="E71" s="23" t="s">
        <v>208</v>
      </c>
      <c r="F71" s="23"/>
      <c r="G71" s="23"/>
      <c r="I71" s="23" t="s">
        <v>197</v>
      </c>
      <c r="M71" s="23" t="s">
        <v>209</v>
      </c>
    </row>
    <row r="72" spans="1:16" hidden="1" x14ac:dyDescent="0.35">
      <c r="A72" s="23" t="s">
        <v>148</v>
      </c>
      <c r="B72" t="s">
        <v>155</v>
      </c>
      <c r="C72" t="s">
        <v>156</v>
      </c>
      <c r="E72" t="s">
        <v>157</v>
      </c>
      <c r="F72" s="23" t="s">
        <v>154</v>
      </c>
      <c r="G72" s="23"/>
      <c r="I72" s="23" t="s">
        <v>212</v>
      </c>
      <c r="J72" s="23" t="s">
        <v>210</v>
      </c>
      <c r="M72" s="23" t="s">
        <v>213</v>
      </c>
      <c r="N72" s="23" t="s">
        <v>211</v>
      </c>
      <c r="O72" s="23"/>
    </row>
    <row r="73" spans="1:16" hidden="1" x14ac:dyDescent="0.35">
      <c r="A73" s="23"/>
      <c r="B73" t="s">
        <v>158</v>
      </c>
      <c r="C73" t="s">
        <v>161</v>
      </c>
      <c r="E73" s="23" t="s">
        <v>155</v>
      </c>
      <c r="F73" t="s">
        <v>156</v>
      </c>
      <c r="I73" s="23" t="s">
        <v>194</v>
      </c>
      <c r="J73" s="23" t="s">
        <v>195</v>
      </c>
      <c r="M73" s="23" t="s">
        <v>192</v>
      </c>
      <c r="N73" s="23" t="s">
        <v>193</v>
      </c>
      <c r="O73" s="23"/>
    </row>
    <row r="74" spans="1:16" hidden="1" x14ac:dyDescent="0.35">
      <c r="A74" s="23"/>
      <c r="B74" t="s">
        <v>159</v>
      </c>
      <c r="C74" t="s">
        <v>162</v>
      </c>
      <c r="E74" t="s">
        <v>158</v>
      </c>
      <c r="F74" t="s">
        <v>161</v>
      </c>
      <c r="I74" s="23" t="s">
        <v>160</v>
      </c>
      <c r="J74" s="23" t="s">
        <v>196</v>
      </c>
      <c r="M74" s="23" t="s">
        <v>194</v>
      </c>
      <c r="N74" s="23" t="s">
        <v>195</v>
      </c>
      <c r="O74" s="23"/>
    </row>
    <row r="75" spans="1:16" hidden="1" x14ac:dyDescent="0.35">
      <c r="A75" s="23"/>
      <c r="B75" t="s">
        <v>160</v>
      </c>
      <c r="C75" t="s">
        <v>60</v>
      </c>
      <c r="E75" t="s">
        <v>159</v>
      </c>
      <c r="F75" t="s">
        <v>162</v>
      </c>
      <c r="I75" s="23"/>
      <c r="J75" s="23"/>
      <c r="M75" s="23" t="s">
        <v>160</v>
      </c>
      <c r="N75" s="23" t="s">
        <v>196</v>
      </c>
      <c r="O75" s="23"/>
    </row>
    <row r="76" spans="1:16" hidden="1" x14ac:dyDescent="0.35">
      <c r="E76" t="s">
        <v>160</v>
      </c>
      <c r="F76" t="s">
        <v>60</v>
      </c>
    </row>
    <row r="77" spans="1:16" hidden="1" x14ac:dyDescent="0.35">
      <c r="E77" s="23"/>
    </row>
  </sheetData>
  <sheetProtection algorithmName="SHA-512" hashValue="9y7Yj5GljLbfLfGkDkW8QHoKSmBkOduWW+ORutkMNQU09hKNkiL8KLkBL1y1z5z6bUzgtUN9NMwxHOsuo4cpDQ==" saltValue="Js+TCvhxzTK64QvL4B3+oA==" spinCount="100000" sheet="1" objects="1" scenarios="1"/>
  <dataConsolidate/>
  <mergeCells count="10">
    <mergeCell ref="A63:G67"/>
    <mergeCell ref="I63:P67"/>
    <mergeCell ref="D51:G51"/>
    <mergeCell ref="L51:P51"/>
    <mergeCell ref="D11:G11"/>
    <mergeCell ref="B14:C14"/>
    <mergeCell ref="J14:K14"/>
    <mergeCell ref="L11:P11"/>
    <mergeCell ref="B47:C47"/>
    <mergeCell ref="J47:K47"/>
  </mergeCells>
  <dataValidations xWindow="761" yWindow="608" count="6">
    <dataValidation type="date" allowBlank="1" showInputMessage="1" showErrorMessage="1" errorTitle="Invalid Date" error="Outside Valid Date Range_x000a_" promptTitle="Date Of Transaction" prompt="Must be in 2026 financial year and in dd/mm/yy format" sqref="C18:C46 K19:K46" xr:uid="{00000000-0002-0000-0100-000000000000}">
      <formula1>45839</formula1>
      <formula2>46203</formula2>
    </dataValidation>
    <dataValidation type="list" allowBlank="1" showInputMessage="1" showErrorMessage="1" errorTitle="Invalid Code" error="Select valid code" promptTitle="Transfer Type" prompt="N2P - Non-Pension to Pension_x000a_CS - Contribution Split_x000a_AR - Alloc to/from Reserve_x000a_OT - Other" sqref="I53:I58" xr:uid="{00000000-0002-0000-0100-000001000000}">
      <formula1>$M$72:$M$75</formula1>
    </dataValidation>
    <dataValidation type="date" allowBlank="1" showInputMessage="1" showErrorMessage="1" errorTitle="Invalid Date" error="Date must be in financial year" promptTitle="Date of Transfer" prompt="Must be in 2026 financial year (dd/mm/yy format)" sqref="C53:C58 K53:K58" xr:uid="{00000000-0002-0000-0100-000002000000}">
      <formula1>45839</formula1>
      <formula2>46203</formula2>
    </dataValidation>
    <dataValidation type="list" allowBlank="1" showInputMessage="1" showErrorMessage="1" errorTitle="Invalid Code" error="Select valid code" promptTitle="Transfer Type" prompt="P2N - Pension to Non-Pension_x000a_AR - Alloc to/from Reserve_x000a_OT - Other" sqref="A53:A58" xr:uid="{00000000-0002-0000-0100-000003000000}">
      <formula1>$I$72:$I$74</formula1>
    </dataValidation>
    <dataValidation type="list" allowBlank="1" showInputMessage="1" showErrorMessage="1" errorTitle="Source Code Error" error="Select Valid Code" promptTitle="Select code or type 2 letters" prompt="CO - Contribution_x000a_TI - Transfer In (Incl R/Os)_x000a_TO - Transfer Out (Incl R/O)s &amp; Benefit Payments)_x000a_OT - Other_x000a_PP - Pension Payment" sqref="I19:I46" xr:uid="{00000000-0002-0000-0100-000004000000}">
      <formula1>$E$72:$E$76</formula1>
    </dataValidation>
    <dataValidation type="list" allowBlank="1" showInputMessage="1" showErrorMessage="1" errorTitle="Source Code Error" error="Select valid code" promptTitle="Select Code or type 2 letters" prompt="PP - Pension Payment_x000a_TI - Transfer In (Incl R/Os)_x000a_TO - Transfer Out (Incl R/Os &amp; Benefit Payments)_x000a_OT - Other" sqref="A18:A46" xr:uid="{00000000-0002-0000-0100-000005000000}">
      <formula1>$B$72:$B$75</formula1>
    </dataValidation>
  </dataValidations>
  <pageMargins left="0.25" right="0.25" top="0.75" bottom="0.75" header="0.3" footer="0.3"/>
  <pageSetup paperSize="9" orientation="landscape"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E61"/>
  <sheetViews>
    <sheetView workbookViewId="0">
      <selection activeCell="B9" sqref="B9"/>
    </sheetView>
  </sheetViews>
  <sheetFormatPr defaultColWidth="9.1328125" defaultRowHeight="12.75" x14ac:dyDescent="0.35"/>
  <cols>
    <col min="1" max="1" width="46.1328125" customWidth="1"/>
    <col min="2" max="5" width="17.73046875" customWidth="1"/>
  </cols>
  <sheetData>
    <row r="1" spans="1:5" ht="15" x14ac:dyDescent="0.4">
      <c r="A1" s="110" t="s">
        <v>265</v>
      </c>
    </row>
    <row r="2" spans="1:5" x14ac:dyDescent="0.35">
      <c r="A2" s="78" t="s">
        <v>216</v>
      </c>
      <c r="B2" s="38"/>
      <c r="C2" s="38"/>
      <c r="D2" s="38"/>
      <c r="E2" s="38"/>
    </row>
    <row r="3" spans="1:5" ht="13.15" thickBot="1" x14ac:dyDescent="0.4">
      <c r="A3" s="58"/>
      <c r="B3" s="38"/>
      <c r="C3" s="38"/>
      <c r="D3" s="38"/>
      <c r="E3" s="38"/>
    </row>
    <row r="4" spans="1:5" x14ac:dyDescent="0.35">
      <c r="A4" s="82" t="s">
        <v>205</v>
      </c>
      <c r="B4" s="42"/>
      <c r="C4" s="42"/>
      <c r="D4" s="42"/>
      <c r="E4" s="42"/>
    </row>
    <row r="5" spans="1:5" x14ac:dyDescent="0.35">
      <c r="A5" s="105" t="s">
        <v>71</v>
      </c>
      <c r="B5" s="47" t="s">
        <v>96</v>
      </c>
      <c r="C5" s="47" t="s">
        <v>97</v>
      </c>
      <c r="D5" s="47" t="s">
        <v>165</v>
      </c>
      <c r="E5" s="47" t="s">
        <v>98</v>
      </c>
    </row>
    <row r="6" spans="1:5" ht="13.15" thickBot="1" x14ac:dyDescent="0.4">
      <c r="A6" s="76" t="s">
        <v>95</v>
      </c>
      <c r="B6" s="134" t="str">
        <f>IF('Fund &amp; Member Details'!B39&lt;&gt;"",'Fund &amp; Member Details'!B39,"")</f>
        <v/>
      </c>
      <c r="C6" s="134" t="str">
        <f>IF('Fund &amp; Member Details'!C39&lt;&gt;"",'Fund &amp; Member Details'!C39,"")</f>
        <v/>
      </c>
      <c r="D6" s="134" t="str">
        <f>IF('Fund &amp; Member Details'!D39&lt;&gt;"",'Fund &amp; Member Details'!D39,"")</f>
        <v/>
      </c>
      <c r="E6" s="134" t="str">
        <f>IF('Fund &amp; Member Details'!E39&lt;&gt;"",'Fund &amp; Member Details'!E39,"")</f>
        <v/>
      </c>
    </row>
    <row r="7" spans="1:5" x14ac:dyDescent="0.35">
      <c r="A7" s="106" t="s">
        <v>1</v>
      </c>
      <c r="B7" s="132" t="str">
        <f>IF('Fund &amp; Member Details'!B40&lt;&gt;"",'Fund &amp; Member Details'!B40,"")</f>
        <v/>
      </c>
      <c r="C7" s="133" t="str">
        <f>IF('Fund &amp; Member Details'!C40&lt;&gt;"",'Fund &amp; Member Details'!C40,"")</f>
        <v/>
      </c>
      <c r="D7" s="133" t="str">
        <f>IF('Fund &amp; Member Details'!D40&lt;&gt;"",'Fund &amp; Member Details'!D40,"")</f>
        <v/>
      </c>
      <c r="E7" s="130" t="str">
        <f>IF('Fund &amp; Member Details'!E40&lt;&gt;"",'Fund &amp; Member Details'!E40,"")</f>
        <v/>
      </c>
    </row>
    <row r="8" spans="1:5" x14ac:dyDescent="0.35">
      <c r="A8" s="106" t="s">
        <v>362</v>
      </c>
      <c r="B8" s="46">
        <v>45839</v>
      </c>
      <c r="C8" s="46">
        <v>45839</v>
      </c>
      <c r="D8" s="46">
        <v>45839</v>
      </c>
      <c r="E8" s="46">
        <v>45839</v>
      </c>
    </row>
    <row r="9" spans="1:5" x14ac:dyDescent="0.35">
      <c r="A9" s="106" t="s">
        <v>100</v>
      </c>
      <c r="B9" s="45" t="str">
        <f>IF('Fund &amp; Member Details'!B49&gt;0,'Fund &amp; Member Details'!B49,"")</f>
        <v/>
      </c>
      <c r="C9" s="45" t="str">
        <f>IF('Fund &amp; Member Details'!C49&gt;0,'Fund &amp; Member Details'!C49,"")</f>
        <v/>
      </c>
      <c r="D9" s="45" t="str">
        <f>IF('Fund &amp; Member Details'!D49&gt;0,'Fund &amp; Member Details'!D49,"")</f>
        <v/>
      </c>
      <c r="E9" s="45" t="str">
        <f>IF('Fund &amp; Member Details'!E49&gt;0,'Fund &amp; Member Details'!E49,"")</f>
        <v/>
      </c>
    </row>
    <row r="10" spans="1:5" x14ac:dyDescent="0.35">
      <c r="A10" s="106" t="s">
        <v>63</v>
      </c>
      <c r="B10" s="48" t="s">
        <v>101</v>
      </c>
      <c r="C10" s="48" t="s">
        <v>101</v>
      </c>
      <c r="D10" s="48" t="s">
        <v>101</v>
      </c>
      <c r="E10" s="48" t="s">
        <v>101</v>
      </c>
    </row>
    <row r="11" spans="1:5" x14ac:dyDescent="0.35">
      <c r="A11" s="106" t="s">
        <v>102</v>
      </c>
      <c r="B11" s="46"/>
      <c r="C11" s="46"/>
      <c r="D11" s="46"/>
      <c r="E11" s="46"/>
    </row>
    <row r="12" spans="1:5" ht="13.15" thickBot="1" x14ac:dyDescent="0.4">
      <c r="A12" s="106" t="s">
        <v>59</v>
      </c>
      <c r="B12" s="45">
        <f>IF(B9&lt;&gt;"",-'Fund &amp; Member Details'!B50,0)</f>
        <v>0</v>
      </c>
      <c r="C12" s="45">
        <f>IF(C9&lt;&gt;"",-'Fund &amp; Member Details'!C50,0)</f>
        <v>0</v>
      </c>
      <c r="D12" s="45">
        <f>IF(D9&lt;&gt;"",-'Fund &amp; Member Details'!D50,0)</f>
        <v>0</v>
      </c>
      <c r="E12" s="45">
        <f>IF(E9&lt;&gt;"",-'Fund &amp; Member Details'!E50,0)</f>
        <v>0</v>
      </c>
    </row>
    <row r="13" spans="1:5" x14ac:dyDescent="0.35">
      <c r="A13" s="106" t="s">
        <v>72</v>
      </c>
      <c r="B13" s="107">
        <f>DATA!K15</f>
        <v>0</v>
      </c>
      <c r="C13" s="107">
        <f>DATA!L15</f>
        <v>0</v>
      </c>
      <c r="D13" s="107">
        <f>DATA!M15</f>
        <v>0</v>
      </c>
      <c r="E13" s="107">
        <f>DATA!N15</f>
        <v>0</v>
      </c>
    </row>
    <row r="14" spans="1:5" x14ac:dyDescent="0.35">
      <c r="A14" s="106" t="s">
        <v>73</v>
      </c>
      <c r="B14" s="108">
        <f>DATA!K16</f>
        <v>0</v>
      </c>
      <c r="C14" s="108">
        <f>DATA!L16</f>
        <v>0</v>
      </c>
      <c r="D14" s="108">
        <f>DATA!M16</f>
        <v>0</v>
      </c>
      <c r="E14" s="108">
        <f>DATA!N16</f>
        <v>0</v>
      </c>
    </row>
    <row r="15" spans="1:5" ht="13.15" thickBot="1" x14ac:dyDescent="0.4">
      <c r="A15" s="106" t="s">
        <v>116</v>
      </c>
      <c r="B15" s="109" t="str">
        <f>DATA!K67</f>
        <v>OK</v>
      </c>
      <c r="C15" s="109" t="str">
        <f>DATA!L67</f>
        <v>OK</v>
      </c>
      <c r="D15" s="109" t="str">
        <f>DATA!M67</f>
        <v>OK</v>
      </c>
      <c r="E15" s="109" t="str">
        <f>DATA!N67</f>
        <v>OK</v>
      </c>
    </row>
    <row r="16" spans="1:5" x14ac:dyDescent="0.35">
      <c r="A16" s="55" t="str">
        <f>Check!B58</f>
        <v/>
      </c>
      <c r="B16" s="38"/>
      <c r="C16" s="38"/>
      <c r="D16" s="38"/>
      <c r="E16" s="38"/>
    </row>
    <row r="17" spans="1:5" ht="13.15" thickBot="1" x14ac:dyDescent="0.4">
      <c r="A17" s="38"/>
      <c r="B17" s="38"/>
      <c r="C17" s="38"/>
      <c r="D17" s="38"/>
      <c r="E17" s="38"/>
    </row>
    <row r="18" spans="1:5" x14ac:dyDescent="0.35">
      <c r="A18" s="82" t="s">
        <v>296</v>
      </c>
      <c r="B18" s="42"/>
      <c r="C18" s="42"/>
      <c r="D18" s="42"/>
      <c r="E18" s="42"/>
    </row>
    <row r="19" spans="1:5" x14ac:dyDescent="0.35">
      <c r="A19" s="79"/>
      <c r="B19" s="47" t="s">
        <v>96</v>
      </c>
      <c r="C19" s="47" t="s">
        <v>97</v>
      </c>
      <c r="D19" s="47" t="s">
        <v>165</v>
      </c>
      <c r="E19" s="47" t="s">
        <v>98</v>
      </c>
    </row>
    <row r="20" spans="1:5" ht="13.15" thickBot="1" x14ac:dyDescent="0.4">
      <c r="A20" s="76" t="s">
        <v>95</v>
      </c>
      <c r="B20" s="134" t="str">
        <f>IF('Fund &amp; Member Details'!B39&lt;&gt;"",'Fund &amp; Member Details'!B39,"")</f>
        <v/>
      </c>
      <c r="C20" s="134" t="str">
        <f>IF('Fund &amp; Member Details'!C39&lt;&gt;"",'Fund &amp; Member Details'!C39,"")</f>
        <v/>
      </c>
      <c r="D20" s="134" t="str">
        <f>IF('Fund &amp; Member Details'!D39&lt;&gt;"",'Fund &amp; Member Details'!D39,"")</f>
        <v/>
      </c>
      <c r="E20" s="134" t="str">
        <f>IF('Fund &amp; Member Details'!E39&lt;&gt;"",'Fund &amp; Member Details'!E39,"")</f>
        <v/>
      </c>
    </row>
    <row r="21" spans="1:5" x14ac:dyDescent="0.35">
      <c r="A21" s="106" t="s">
        <v>1</v>
      </c>
      <c r="B21" s="132" t="str">
        <f>IF('Fund &amp; Member Details'!B40&lt;&gt;"",'Fund &amp; Member Details'!B40,"")</f>
        <v/>
      </c>
      <c r="C21" s="133" t="str">
        <f>IF('Fund &amp; Member Details'!C40&lt;&gt;"",'Fund &amp; Member Details'!C40,"")</f>
        <v/>
      </c>
      <c r="D21" s="133" t="str">
        <f>IF('Fund &amp; Member Details'!D40&lt;&gt;"",'Fund &amp; Member Details'!D40,"")</f>
        <v/>
      </c>
      <c r="E21" s="130" t="str">
        <f>IF('Fund &amp; Member Details'!E40&lt;&gt;"",'Fund &amp; Member Details'!E40,"")</f>
        <v/>
      </c>
    </row>
    <row r="22" spans="1:5" x14ac:dyDescent="0.35">
      <c r="A22" s="106" t="s">
        <v>112</v>
      </c>
      <c r="B22" s="46">
        <v>45839</v>
      </c>
      <c r="C22" s="46">
        <v>45839</v>
      </c>
      <c r="D22" s="46">
        <v>45839</v>
      </c>
      <c r="E22" s="46">
        <v>45839</v>
      </c>
    </row>
    <row r="23" spans="1:5" x14ac:dyDescent="0.35">
      <c r="A23" s="106" t="s">
        <v>113</v>
      </c>
      <c r="B23" s="45" t="str">
        <f>IF('Fund &amp; Member Details'!B60&gt;0,'Fund &amp; Member Details'!B60,"")</f>
        <v/>
      </c>
      <c r="C23" s="45" t="str">
        <f>IF('Fund &amp; Member Details'!C60&gt;0,'Fund &amp; Member Details'!C60,"")</f>
        <v/>
      </c>
      <c r="D23" s="45" t="str">
        <f>IF('Fund &amp; Member Details'!D60&gt;0,'Fund &amp; Member Details'!D60,"")</f>
        <v/>
      </c>
      <c r="E23" s="45" t="str">
        <f>IF('Fund &amp; Member Details'!E60&gt;0,'Fund &amp; Member Details'!E60,"")</f>
        <v/>
      </c>
    </row>
    <row r="24" spans="1:5" x14ac:dyDescent="0.35">
      <c r="A24" s="59" t="s">
        <v>63</v>
      </c>
      <c r="B24" s="48" t="s">
        <v>48</v>
      </c>
      <c r="C24" s="48" t="s">
        <v>48</v>
      </c>
      <c r="D24" s="48" t="s">
        <v>48</v>
      </c>
      <c r="E24" s="48" t="s">
        <v>48</v>
      </c>
    </row>
    <row r="25" spans="1:5" x14ac:dyDescent="0.35">
      <c r="A25" s="59" t="s">
        <v>102</v>
      </c>
      <c r="B25" s="46"/>
      <c r="C25" s="46"/>
      <c r="D25" s="46"/>
      <c r="E25" s="46"/>
    </row>
    <row r="26" spans="1:5" ht="13.15" thickBot="1" x14ac:dyDescent="0.4">
      <c r="A26" s="59" t="s">
        <v>59</v>
      </c>
      <c r="B26" s="45">
        <f>IF(B23&lt;&gt;"",-'Fund &amp; Member Details'!B64,0)</f>
        <v>0</v>
      </c>
      <c r="C26" s="45">
        <f>IF(C23&lt;&gt;"",-'Fund &amp; Member Details'!C64,0)</f>
        <v>0</v>
      </c>
      <c r="D26" s="45">
        <f>IF(D23&lt;&gt;"",-'Fund &amp; Member Details'!D64,0)</f>
        <v>0</v>
      </c>
      <c r="E26" s="45">
        <f>IF(E23&lt;&gt;"",-'Fund &amp; Member Details'!E64,0)</f>
        <v>0</v>
      </c>
    </row>
    <row r="27" spans="1:5" x14ac:dyDescent="0.35">
      <c r="A27" s="59" t="s">
        <v>72</v>
      </c>
      <c r="B27" s="107">
        <f>DATA!K28</f>
        <v>0</v>
      </c>
      <c r="C27" s="107">
        <f>DATA!L28</f>
        <v>0</v>
      </c>
      <c r="D27" s="107">
        <f>DATA!M28</f>
        <v>0</v>
      </c>
      <c r="E27" s="107">
        <f>DATA!N28</f>
        <v>0</v>
      </c>
    </row>
    <row r="28" spans="1:5" x14ac:dyDescent="0.35">
      <c r="A28" s="59" t="s">
        <v>73</v>
      </c>
      <c r="B28" s="108">
        <f>DATA!K29</f>
        <v>0</v>
      </c>
      <c r="C28" s="108">
        <f>DATA!L29</f>
        <v>0</v>
      </c>
      <c r="D28" s="108">
        <f>DATA!M29</f>
        <v>0</v>
      </c>
      <c r="E28" s="108">
        <f>DATA!N29</f>
        <v>0</v>
      </c>
    </row>
    <row r="29" spans="1:5" ht="13.15" thickBot="1" x14ac:dyDescent="0.4">
      <c r="A29" s="60" t="s">
        <v>116</v>
      </c>
      <c r="B29" s="109" t="str">
        <f>DATA!K68</f>
        <v>OK</v>
      </c>
      <c r="C29" s="109" t="str">
        <f>DATA!L68</f>
        <v>OK</v>
      </c>
      <c r="D29" s="109" t="str">
        <f>DATA!M68</f>
        <v>OK</v>
      </c>
      <c r="E29" s="109" t="str">
        <f>DATA!N68</f>
        <v>OK</v>
      </c>
    </row>
    <row r="30" spans="1:5" x14ac:dyDescent="0.35">
      <c r="A30" s="38"/>
      <c r="B30" s="38"/>
      <c r="C30" s="38"/>
      <c r="D30" s="38"/>
      <c r="E30" s="38"/>
    </row>
    <row r="31" spans="1:5" ht="13.15" thickBot="1" x14ac:dyDescent="0.4">
      <c r="A31" s="38"/>
      <c r="B31" s="38"/>
      <c r="C31" s="38"/>
      <c r="D31" s="38"/>
      <c r="E31" s="38"/>
    </row>
    <row r="32" spans="1:5" x14ac:dyDescent="0.35">
      <c r="A32" s="82" t="s">
        <v>320</v>
      </c>
      <c r="B32" s="42"/>
      <c r="C32" s="42"/>
      <c r="D32" s="42"/>
      <c r="E32" s="42"/>
    </row>
    <row r="33" spans="1:5" x14ac:dyDescent="0.35">
      <c r="A33" s="79"/>
      <c r="B33" s="47" t="s">
        <v>96</v>
      </c>
      <c r="C33" s="47" t="s">
        <v>97</v>
      </c>
      <c r="D33" s="47" t="s">
        <v>165</v>
      </c>
      <c r="E33" s="47" t="s">
        <v>98</v>
      </c>
    </row>
    <row r="34" spans="1:5" ht="13.15" thickBot="1" x14ac:dyDescent="0.4">
      <c r="A34" s="76" t="s">
        <v>95</v>
      </c>
      <c r="B34" s="134" t="str">
        <f>IF('Fund &amp; Member Details'!B39&lt;&gt;"",'Fund &amp; Member Details'!B39,"")</f>
        <v/>
      </c>
      <c r="C34" s="134" t="str">
        <f>IF('Fund &amp; Member Details'!C39&lt;&gt;"",'Fund &amp; Member Details'!C39,"")</f>
        <v/>
      </c>
      <c r="D34" s="134" t="str">
        <f>IF('Fund &amp; Member Details'!D39&lt;&gt;"",'Fund &amp; Member Details'!D39,"")</f>
        <v/>
      </c>
      <c r="E34" s="134" t="str">
        <f>IF('Fund &amp; Member Details'!E39&lt;&gt;"",'Fund &amp; Member Details'!E39,"")</f>
        <v/>
      </c>
    </row>
    <row r="35" spans="1:5" x14ac:dyDescent="0.35">
      <c r="A35" s="106" t="s">
        <v>1</v>
      </c>
      <c r="B35" s="132" t="str">
        <f>IF('Fund &amp; Member Details'!B40&lt;&gt;"",'Fund &amp; Member Details'!B40,"")</f>
        <v/>
      </c>
      <c r="C35" s="133" t="str">
        <f>IF('Fund &amp; Member Details'!C40&lt;&gt;"",'Fund &amp; Member Details'!C40,"")</f>
        <v/>
      </c>
      <c r="D35" s="133" t="str">
        <f>IF('Fund &amp; Member Details'!D40&lt;&gt;"",'Fund &amp; Member Details'!D40,"")</f>
        <v/>
      </c>
      <c r="E35" s="130" t="str">
        <f>IF('Fund &amp; Member Details'!E40&lt;&gt;"",'Fund &amp; Member Details'!E40,"")</f>
        <v/>
      </c>
    </row>
    <row r="36" spans="1:5" x14ac:dyDescent="0.35">
      <c r="A36" s="106" t="s">
        <v>114</v>
      </c>
      <c r="B36" s="46">
        <v>45839</v>
      </c>
      <c r="C36" s="46">
        <v>45839</v>
      </c>
      <c r="D36" s="46">
        <v>45839</v>
      </c>
      <c r="E36" s="46">
        <v>45839</v>
      </c>
    </row>
    <row r="37" spans="1:5" x14ac:dyDescent="0.35">
      <c r="A37" s="106" t="s">
        <v>113</v>
      </c>
      <c r="B37" s="45"/>
      <c r="C37" s="45"/>
      <c r="D37" s="45"/>
      <c r="E37" s="45"/>
    </row>
    <row r="38" spans="1:5" x14ac:dyDescent="0.35">
      <c r="A38" s="59" t="s">
        <v>63</v>
      </c>
      <c r="B38" s="48"/>
      <c r="C38" s="48"/>
      <c r="D38" s="48"/>
      <c r="E38" s="48"/>
    </row>
    <row r="39" spans="1:5" x14ac:dyDescent="0.35">
      <c r="A39" s="59" t="s">
        <v>102</v>
      </c>
      <c r="B39" s="46"/>
      <c r="C39" s="46"/>
      <c r="D39" s="46"/>
      <c r="E39" s="46"/>
    </row>
    <row r="40" spans="1:5" ht="13.15" thickBot="1" x14ac:dyDescent="0.4">
      <c r="A40" s="59" t="s">
        <v>59</v>
      </c>
      <c r="B40" s="45"/>
      <c r="C40" s="45"/>
      <c r="D40" s="45"/>
      <c r="E40" s="45"/>
    </row>
    <row r="41" spans="1:5" x14ac:dyDescent="0.35">
      <c r="A41" s="59" t="s">
        <v>72</v>
      </c>
      <c r="B41" s="107">
        <f>DATA!K41</f>
        <v>0</v>
      </c>
      <c r="C41" s="107">
        <f>DATA!L41</f>
        <v>0</v>
      </c>
      <c r="D41" s="107">
        <f>DATA!M41</f>
        <v>0</v>
      </c>
      <c r="E41" s="107">
        <f>DATA!N41</f>
        <v>0</v>
      </c>
    </row>
    <row r="42" spans="1:5" x14ac:dyDescent="0.35">
      <c r="A42" s="59" t="s">
        <v>73</v>
      </c>
      <c r="B42" s="108">
        <f>DATA!K42</f>
        <v>0</v>
      </c>
      <c r="C42" s="108">
        <f>DATA!L42</f>
        <v>0</v>
      </c>
      <c r="D42" s="108">
        <f>DATA!M42</f>
        <v>0</v>
      </c>
      <c r="E42" s="108">
        <f>DATA!N42</f>
        <v>0</v>
      </c>
    </row>
    <row r="43" spans="1:5" ht="13.15" thickBot="1" x14ac:dyDescent="0.4">
      <c r="A43" s="60" t="s">
        <v>116</v>
      </c>
      <c r="B43" s="109" t="str">
        <f>DATA!K69</f>
        <v>OK</v>
      </c>
      <c r="C43" s="109" t="str">
        <f>DATA!L69</f>
        <v>OK</v>
      </c>
      <c r="D43" s="109" t="str">
        <f>DATA!M69</f>
        <v>OK</v>
      </c>
      <c r="E43" s="109" t="str">
        <f>DATA!N69</f>
        <v>OK</v>
      </c>
    </row>
    <row r="44" spans="1:5" x14ac:dyDescent="0.35">
      <c r="A44" s="38"/>
      <c r="B44" s="38"/>
      <c r="C44" s="38"/>
      <c r="D44" s="38"/>
      <c r="E44" s="38"/>
    </row>
    <row r="45" spans="1:5" ht="13.15" thickBot="1" x14ac:dyDescent="0.4">
      <c r="A45" s="38"/>
      <c r="B45" s="38"/>
      <c r="C45" s="38"/>
      <c r="D45" s="38"/>
      <c r="E45" s="38"/>
    </row>
    <row r="46" spans="1:5" x14ac:dyDescent="0.35">
      <c r="A46" s="82" t="s">
        <v>321</v>
      </c>
      <c r="B46" s="42"/>
      <c r="C46" s="42"/>
      <c r="D46" s="42"/>
      <c r="E46" s="42"/>
    </row>
    <row r="47" spans="1:5" x14ac:dyDescent="0.35">
      <c r="A47" s="79"/>
      <c r="B47" s="47" t="s">
        <v>96</v>
      </c>
      <c r="C47" s="47" t="s">
        <v>97</v>
      </c>
      <c r="D47" s="47" t="s">
        <v>165</v>
      </c>
      <c r="E47" s="47" t="s">
        <v>98</v>
      </c>
    </row>
    <row r="48" spans="1:5" ht="13.15" thickBot="1" x14ac:dyDescent="0.4">
      <c r="A48" s="76" t="s">
        <v>95</v>
      </c>
      <c r="B48" s="134" t="str">
        <f>IF('Fund &amp; Member Details'!B39&lt;&gt;"",'Fund &amp; Member Details'!B39,"")</f>
        <v/>
      </c>
      <c r="C48" s="134" t="str">
        <f>IF('Fund &amp; Member Details'!C39&lt;&gt;"",'Fund &amp; Member Details'!C39,"")</f>
        <v/>
      </c>
      <c r="D48" s="134" t="str">
        <f>IF('Fund &amp; Member Details'!D39&lt;&gt;"",'Fund &amp; Member Details'!D39,"")</f>
        <v/>
      </c>
      <c r="E48" s="134" t="str">
        <f>IF('Fund &amp; Member Details'!E39&lt;&gt;"",'Fund &amp; Member Details'!E39,"")</f>
        <v/>
      </c>
    </row>
    <row r="49" spans="1:5" x14ac:dyDescent="0.35">
      <c r="A49" s="106" t="s">
        <v>1</v>
      </c>
      <c r="B49" s="132" t="str">
        <f>IF('Fund &amp; Member Details'!B40&lt;&gt;"",'Fund &amp; Member Details'!B40,"")</f>
        <v/>
      </c>
      <c r="C49" s="133" t="str">
        <f>IF('Fund &amp; Member Details'!C40&lt;&gt;"",'Fund &amp; Member Details'!C40,"")</f>
        <v/>
      </c>
      <c r="D49" s="133" t="str">
        <f>IF('Fund &amp; Member Details'!D40&lt;&gt;"",'Fund &amp; Member Details'!D40,"")</f>
        <v/>
      </c>
      <c r="E49" s="130" t="str">
        <f>IF('Fund &amp; Member Details'!E40&lt;&gt;"",'Fund &amp; Member Details'!E40,"")</f>
        <v/>
      </c>
    </row>
    <row r="50" spans="1:5" x14ac:dyDescent="0.35">
      <c r="A50" s="106" t="s">
        <v>115</v>
      </c>
      <c r="B50" s="46">
        <v>45839</v>
      </c>
      <c r="C50" s="46">
        <v>45839</v>
      </c>
      <c r="D50" s="46">
        <v>45839</v>
      </c>
      <c r="E50" s="46">
        <v>45839</v>
      </c>
    </row>
    <row r="51" spans="1:5" x14ac:dyDescent="0.35">
      <c r="A51" s="106" t="s">
        <v>113</v>
      </c>
      <c r="B51" s="45"/>
      <c r="C51" s="45"/>
      <c r="D51" s="45"/>
      <c r="E51" s="45"/>
    </row>
    <row r="52" spans="1:5" x14ac:dyDescent="0.35">
      <c r="A52" s="59" t="s">
        <v>63</v>
      </c>
      <c r="B52" s="48"/>
      <c r="C52" s="48"/>
      <c r="D52" s="48"/>
      <c r="E52" s="48"/>
    </row>
    <row r="53" spans="1:5" x14ac:dyDescent="0.35">
      <c r="A53" s="59" t="s">
        <v>102</v>
      </c>
      <c r="B53" s="46"/>
      <c r="C53" s="46"/>
      <c r="D53" s="46"/>
      <c r="E53" s="46"/>
    </row>
    <row r="54" spans="1:5" ht="13.15" thickBot="1" x14ac:dyDescent="0.4">
      <c r="A54" s="59" t="s">
        <v>59</v>
      </c>
      <c r="B54" s="45"/>
      <c r="C54" s="45"/>
      <c r="D54" s="45"/>
      <c r="E54" s="45"/>
    </row>
    <row r="55" spans="1:5" x14ac:dyDescent="0.35">
      <c r="A55" s="59" t="s">
        <v>72</v>
      </c>
      <c r="B55" s="107">
        <f>DATA!K54</f>
        <v>0</v>
      </c>
      <c r="C55" s="107">
        <f>DATA!L54</f>
        <v>0</v>
      </c>
      <c r="D55" s="107">
        <f>DATA!M54</f>
        <v>0</v>
      </c>
      <c r="E55" s="107">
        <f>DATA!N54</f>
        <v>0</v>
      </c>
    </row>
    <row r="56" spans="1:5" x14ac:dyDescent="0.35">
      <c r="A56" s="59" t="s">
        <v>73</v>
      </c>
      <c r="B56" s="108">
        <f>DATA!K55</f>
        <v>0</v>
      </c>
      <c r="C56" s="108">
        <f>DATA!L55</f>
        <v>0</v>
      </c>
      <c r="D56" s="108">
        <f>DATA!M55</f>
        <v>0</v>
      </c>
      <c r="E56" s="108">
        <f>DATA!N55</f>
        <v>0</v>
      </c>
    </row>
    <row r="57" spans="1:5" ht="13.15" thickBot="1" x14ac:dyDescent="0.4">
      <c r="A57" s="60" t="s">
        <v>116</v>
      </c>
      <c r="B57" s="109" t="str">
        <f>DATA!K70</f>
        <v>OK</v>
      </c>
      <c r="C57" s="109" t="str">
        <f>DATA!L70</f>
        <v>OK</v>
      </c>
      <c r="D57" s="109" t="str">
        <f>DATA!M70</f>
        <v>OK</v>
      </c>
      <c r="E57" s="109" t="str">
        <f>DATA!N70</f>
        <v>OK</v>
      </c>
    </row>
    <row r="58" spans="1:5" x14ac:dyDescent="0.35">
      <c r="A58" s="38"/>
      <c r="B58" s="38"/>
      <c r="C58" s="38"/>
      <c r="D58" s="38"/>
      <c r="E58" s="38"/>
    </row>
    <row r="60" spans="1:5" hidden="1" x14ac:dyDescent="0.35">
      <c r="A60" s="23" t="s">
        <v>148</v>
      </c>
      <c r="B60" t="s">
        <v>48</v>
      </c>
      <c r="C60" t="s">
        <v>149</v>
      </c>
    </row>
    <row r="61" spans="1:5" hidden="1" x14ac:dyDescent="0.35">
      <c r="A61" s="23"/>
      <c r="B61" t="s">
        <v>101</v>
      </c>
      <c r="C61" t="s">
        <v>150</v>
      </c>
    </row>
  </sheetData>
  <sheetProtection algorithmName="SHA-512" hashValue="jd23/AIKC0qEiTPgpyKRsjb80frb2f9MI9s+Bg8nd8gDbfRHE/CbiB0bb7GZlUJoQNqcBJgkjympkKQx5TXbCw==" saltValue="EgRNKYIsy63AE/7N0ewJCw==" spinCount="100000" sheet="1" objects="1" scenarios="1"/>
  <conditionalFormatting sqref="B15:E15">
    <cfRule type="cellIs" dxfId="2" priority="3" stopIfTrue="1" operator="equal">
      <formula>"WARNING"</formula>
    </cfRule>
  </conditionalFormatting>
  <dataValidations count="2">
    <dataValidation type="list" allowBlank="1" showInputMessage="1" showErrorMessage="1" errorTitle="Invalid Code" error="Must be Y or N" promptTitle="TTR or ABP" prompt="Y for Transition to Retirement_x000a_N for Commutable" sqref="B24:E24 B52:E52 B10:E10 B38:E38" xr:uid="{00000000-0002-0000-0200-000001000000}">
      <formula1>$B$60:$B$61</formula1>
    </dataValidation>
    <dataValidation type="date" allowBlank="1" showInputMessage="1" showErrorMessage="1" errorTitle="Invalid Date" error="Must be in 2026 Financial Year" promptTitle="Calculation Date" sqref="B39:E39 B53:E53 B25:E25 B11:E11 B22:E22 B8:E8 B36:E36 B50:E50" xr:uid="{00000000-0002-0000-0200-000002000000}">
      <formula1>45839</formula1>
      <formula2>46203</formula2>
    </dataValidation>
  </dataValidations>
  <pageMargins left="0.7" right="0.7" top="0.75" bottom="0.75" header="0.3" footer="0.3"/>
  <pageSetup paperSize="9"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E33"/>
  <sheetViews>
    <sheetView workbookViewId="0">
      <selection activeCell="B9" sqref="B9"/>
    </sheetView>
  </sheetViews>
  <sheetFormatPr defaultColWidth="9.1328125" defaultRowHeight="12.75" x14ac:dyDescent="0.35"/>
  <cols>
    <col min="1" max="1" width="45.265625" customWidth="1"/>
    <col min="2" max="5" width="17.73046875" customWidth="1"/>
  </cols>
  <sheetData>
    <row r="1" spans="1:5" ht="15" x14ac:dyDescent="0.4">
      <c r="A1" s="110" t="s">
        <v>266</v>
      </c>
    </row>
    <row r="2" spans="1:5" x14ac:dyDescent="0.35">
      <c r="A2" s="78" t="s">
        <v>217</v>
      </c>
      <c r="B2" s="38"/>
      <c r="C2" s="38"/>
      <c r="D2" s="38"/>
      <c r="E2" s="38"/>
    </row>
    <row r="3" spans="1:5" ht="13.15" thickBot="1" x14ac:dyDescent="0.4">
      <c r="A3" s="38"/>
      <c r="B3" s="38"/>
      <c r="C3" s="38"/>
      <c r="D3" s="38"/>
      <c r="E3" s="38"/>
    </row>
    <row r="4" spans="1:5" x14ac:dyDescent="0.35">
      <c r="A4" s="82" t="s">
        <v>206</v>
      </c>
      <c r="B4" s="42"/>
      <c r="C4" s="42"/>
      <c r="D4" s="42"/>
      <c r="E4" s="42"/>
    </row>
    <row r="5" spans="1:5" x14ac:dyDescent="0.35">
      <c r="A5" s="79"/>
      <c r="B5" s="47" t="s">
        <v>96</v>
      </c>
      <c r="C5" s="47" t="s">
        <v>97</v>
      </c>
      <c r="D5" s="47" t="s">
        <v>165</v>
      </c>
      <c r="E5" s="47" t="s">
        <v>98</v>
      </c>
    </row>
    <row r="6" spans="1:5" ht="13.15" thickBot="1" x14ac:dyDescent="0.4">
      <c r="A6" s="76" t="s">
        <v>95</v>
      </c>
      <c r="B6" s="134" t="str">
        <f>IF('Fund &amp; Member Details'!B39&lt;&gt;"",'Fund &amp; Member Details'!B39,"")</f>
        <v/>
      </c>
      <c r="C6" s="134" t="str">
        <f>IF('Fund &amp; Member Details'!C39&lt;&gt;"",'Fund &amp; Member Details'!C39,"")</f>
        <v/>
      </c>
      <c r="D6" s="134" t="str">
        <f>IF('Fund &amp; Member Details'!D39&lt;&gt;"",'Fund &amp; Member Details'!D39,"")</f>
        <v/>
      </c>
      <c r="E6" s="134" t="str">
        <f>IF('Fund &amp; Member Details'!E39&lt;&gt;"",'Fund &amp; Member Details'!E39,"")</f>
        <v/>
      </c>
    </row>
    <row r="7" spans="1:5" x14ac:dyDescent="0.35">
      <c r="A7" s="106" t="s">
        <v>1</v>
      </c>
      <c r="B7" s="131" t="str">
        <f>IF('Fund &amp; Member Details'!B40&lt;&gt;"",'Fund &amp; Member Details'!B40,"")</f>
        <v/>
      </c>
      <c r="C7" s="131" t="str">
        <f>IF('Fund &amp; Member Details'!C40&lt;&gt;"",'Fund &amp; Member Details'!C40,"")</f>
        <v/>
      </c>
      <c r="D7" s="131" t="str">
        <f>IF('Fund &amp; Member Details'!D40&lt;&gt;"",'Fund &amp; Member Details'!D40,"")</f>
        <v/>
      </c>
      <c r="E7" s="131" t="str">
        <f>IF('Fund &amp; Member Details'!E40&lt;&gt;"",'Fund &amp; Member Details'!E40,"")</f>
        <v/>
      </c>
    </row>
    <row r="8" spans="1:5" x14ac:dyDescent="0.35">
      <c r="A8" s="106" t="s">
        <v>363</v>
      </c>
      <c r="B8" s="46">
        <v>45839</v>
      </c>
      <c r="C8" s="46">
        <v>45839</v>
      </c>
      <c r="D8" s="46">
        <v>45839</v>
      </c>
      <c r="E8" s="46">
        <v>45839</v>
      </c>
    </row>
    <row r="9" spans="1:5" x14ac:dyDescent="0.35">
      <c r="A9" s="106" t="s">
        <v>100</v>
      </c>
      <c r="B9" s="45"/>
      <c r="C9" s="45"/>
      <c r="D9" s="45"/>
      <c r="E9" s="45"/>
    </row>
    <row r="10" spans="1:5" x14ac:dyDescent="0.35">
      <c r="A10" s="59" t="s">
        <v>133</v>
      </c>
      <c r="B10" s="48" t="s">
        <v>101</v>
      </c>
      <c r="C10" s="48" t="s">
        <v>101</v>
      </c>
      <c r="D10" s="48" t="s">
        <v>101</v>
      </c>
      <c r="E10" s="48" t="s">
        <v>101</v>
      </c>
    </row>
    <row r="11" spans="1:5" x14ac:dyDescent="0.35">
      <c r="A11" s="59" t="s">
        <v>102</v>
      </c>
      <c r="B11" s="46"/>
      <c r="C11" s="46"/>
      <c r="D11" s="46"/>
      <c r="E11" s="46"/>
    </row>
    <row r="12" spans="1:5" ht="13.15" thickBot="1" x14ac:dyDescent="0.4">
      <c r="A12" s="59" t="s">
        <v>58</v>
      </c>
      <c r="B12" s="45"/>
      <c r="C12" s="45"/>
      <c r="D12" s="45"/>
      <c r="E12" s="45"/>
    </row>
    <row r="13" spans="1:5" x14ac:dyDescent="0.35">
      <c r="A13" s="59" t="s">
        <v>129</v>
      </c>
      <c r="B13" s="107">
        <f>DATA!K83</f>
        <v>0</v>
      </c>
      <c r="C13" s="107">
        <f>DATA!L83</f>
        <v>0</v>
      </c>
      <c r="D13" s="107">
        <f>DATA!M83</f>
        <v>0</v>
      </c>
      <c r="E13" s="107">
        <f>DATA!N83</f>
        <v>0</v>
      </c>
    </row>
    <row r="14" spans="1:5" x14ac:dyDescent="0.35">
      <c r="A14" s="59" t="s">
        <v>130</v>
      </c>
      <c r="B14" s="108">
        <f>DATA!K84</f>
        <v>0</v>
      </c>
      <c r="C14" s="108">
        <f>DATA!L84</f>
        <v>0</v>
      </c>
      <c r="D14" s="108">
        <f>DATA!M84</f>
        <v>0</v>
      </c>
      <c r="E14" s="108">
        <f>DATA!N84</f>
        <v>0</v>
      </c>
    </row>
    <row r="15" spans="1:5" ht="13.15" thickBot="1" x14ac:dyDescent="0.4">
      <c r="A15" s="60" t="s">
        <v>116</v>
      </c>
      <c r="B15" s="109" t="str">
        <f>DATA!K106</f>
        <v>OK</v>
      </c>
      <c r="C15" s="109" t="str">
        <f>DATA!L106</f>
        <v>OK</v>
      </c>
      <c r="D15" s="109" t="str">
        <f>DATA!M106</f>
        <v>OK</v>
      </c>
      <c r="E15" s="109" t="str">
        <f>DATA!N106</f>
        <v>OK</v>
      </c>
    </row>
    <row r="16" spans="1:5" x14ac:dyDescent="0.35">
      <c r="A16" s="58" t="s">
        <v>219</v>
      </c>
      <c r="B16" s="38"/>
      <c r="C16" s="38"/>
      <c r="D16" s="38"/>
      <c r="E16" s="38"/>
    </row>
    <row r="17" spans="1:5" ht="13.15" thickBot="1" x14ac:dyDescent="0.4">
      <c r="A17" s="38"/>
      <c r="B17" s="38"/>
      <c r="C17" s="38"/>
      <c r="D17" s="38"/>
      <c r="E17" s="38"/>
    </row>
    <row r="18" spans="1:5" x14ac:dyDescent="0.35">
      <c r="A18" s="82" t="s">
        <v>207</v>
      </c>
      <c r="B18" s="42"/>
      <c r="C18" s="42"/>
      <c r="D18" s="42"/>
      <c r="E18" s="42"/>
    </row>
    <row r="19" spans="1:5" x14ac:dyDescent="0.35">
      <c r="A19" s="79"/>
      <c r="B19" s="47" t="s">
        <v>96</v>
      </c>
      <c r="C19" s="47" t="s">
        <v>97</v>
      </c>
      <c r="D19" s="47" t="s">
        <v>165</v>
      </c>
      <c r="E19" s="47" t="s">
        <v>98</v>
      </c>
    </row>
    <row r="20" spans="1:5" ht="13.15" thickBot="1" x14ac:dyDescent="0.4">
      <c r="A20" s="76" t="s">
        <v>95</v>
      </c>
      <c r="B20" s="134" t="str">
        <f>IF('Fund &amp; Member Details'!B39&lt;&gt;"",'Fund &amp; Member Details'!B39,"")</f>
        <v/>
      </c>
      <c r="C20" s="134" t="str">
        <f>IF('Fund &amp; Member Details'!C39&lt;&gt;"",'Fund &amp; Member Details'!C39,"")</f>
        <v/>
      </c>
      <c r="D20" s="134" t="str">
        <f>IF('Fund &amp; Member Details'!D39&lt;&gt;"",'Fund &amp; Member Details'!D39,"")</f>
        <v/>
      </c>
      <c r="E20" s="134" t="str">
        <f>IF('Fund &amp; Member Details'!E39&lt;&gt;"",'Fund &amp; Member Details'!E39,"")</f>
        <v/>
      </c>
    </row>
    <row r="21" spans="1:5" x14ac:dyDescent="0.35">
      <c r="A21" s="106" t="s">
        <v>1</v>
      </c>
      <c r="B21" s="131" t="str">
        <f>IF('Fund &amp; Member Details'!B40&lt;&gt;"",'Fund &amp; Member Details'!B40,"")</f>
        <v/>
      </c>
      <c r="C21" s="131" t="str">
        <f>IF('Fund &amp; Member Details'!C40&lt;&gt;"",'Fund &amp; Member Details'!C40,"")</f>
        <v/>
      </c>
      <c r="D21" s="131" t="str">
        <f>IF('Fund &amp; Member Details'!D40&lt;&gt;"",'Fund &amp; Member Details'!D40,"")</f>
        <v/>
      </c>
      <c r="E21" s="131" t="str">
        <f>IF('Fund &amp; Member Details'!E40&lt;&gt;"",'Fund &amp; Member Details'!E40,"")</f>
        <v/>
      </c>
    </row>
    <row r="22" spans="1:5" x14ac:dyDescent="0.35">
      <c r="A22" s="106" t="s">
        <v>363</v>
      </c>
      <c r="B22" s="46">
        <v>45839</v>
      </c>
      <c r="C22" s="46">
        <v>45839</v>
      </c>
      <c r="D22" s="46">
        <v>45839</v>
      </c>
      <c r="E22" s="46">
        <v>45839</v>
      </c>
    </row>
    <row r="23" spans="1:5" x14ac:dyDescent="0.35">
      <c r="A23" s="106" t="s">
        <v>100</v>
      </c>
      <c r="B23" s="45"/>
      <c r="C23" s="45"/>
      <c r="D23" s="45"/>
      <c r="E23" s="45"/>
    </row>
    <row r="24" spans="1:5" x14ac:dyDescent="0.35">
      <c r="A24" s="59" t="s">
        <v>131</v>
      </c>
      <c r="B24" s="45"/>
      <c r="C24" s="45"/>
      <c r="D24" s="45"/>
      <c r="E24" s="45"/>
    </row>
    <row r="25" spans="1:5" x14ac:dyDescent="0.35">
      <c r="A25" s="59" t="s">
        <v>102</v>
      </c>
      <c r="B25" s="46"/>
      <c r="C25" s="46"/>
      <c r="D25" s="45"/>
      <c r="E25" s="46"/>
    </row>
    <row r="26" spans="1:5" ht="13.15" thickBot="1" x14ac:dyDescent="0.4">
      <c r="A26" s="59" t="s">
        <v>132</v>
      </c>
      <c r="B26" s="45"/>
      <c r="C26" s="45"/>
      <c r="D26" s="45"/>
      <c r="E26" s="45"/>
    </row>
    <row r="27" spans="1:5" x14ac:dyDescent="0.35">
      <c r="A27" s="59" t="s">
        <v>72</v>
      </c>
      <c r="B27" s="107">
        <f>DATA!K97</f>
        <v>0</v>
      </c>
      <c r="C27" s="107">
        <f>DATA!L97</f>
        <v>0</v>
      </c>
      <c r="D27" s="107">
        <f>DATA!M97</f>
        <v>0</v>
      </c>
      <c r="E27" s="107">
        <f>DATA!N97</f>
        <v>0</v>
      </c>
    </row>
    <row r="28" spans="1:5" x14ac:dyDescent="0.35">
      <c r="A28" s="59" t="s">
        <v>73</v>
      </c>
      <c r="B28" s="108">
        <f>DATA!K98</f>
        <v>0</v>
      </c>
      <c r="C28" s="108">
        <f>DATA!L98</f>
        <v>0</v>
      </c>
      <c r="D28" s="108">
        <f>DATA!M98</f>
        <v>0</v>
      </c>
      <c r="E28" s="108">
        <f>DATA!N98</f>
        <v>0</v>
      </c>
    </row>
    <row r="29" spans="1:5" ht="13.15" thickBot="1" x14ac:dyDescent="0.4">
      <c r="A29" s="60" t="s">
        <v>116</v>
      </c>
      <c r="B29" s="109" t="str">
        <f>DATA!K107</f>
        <v>OK</v>
      </c>
      <c r="C29" s="109" t="str">
        <f>DATA!L107</f>
        <v>OK</v>
      </c>
      <c r="D29" s="109" t="str">
        <f>DATA!M107</f>
        <v>OK</v>
      </c>
      <c r="E29" s="109" t="str">
        <f>DATA!N107</f>
        <v>OK</v>
      </c>
    </row>
    <row r="30" spans="1:5" x14ac:dyDescent="0.35">
      <c r="A30" s="38"/>
      <c r="B30" s="38"/>
      <c r="C30" s="38"/>
      <c r="D30" s="38"/>
      <c r="E30" s="38"/>
    </row>
    <row r="31" spans="1:5" x14ac:dyDescent="0.35">
      <c r="A31" s="38"/>
      <c r="B31" s="38"/>
      <c r="C31" s="38"/>
      <c r="D31" s="38"/>
      <c r="E31" s="38"/>
    </row>
    <row r="32" spans="1:5" hidden="1" x14ac:dyDescent="0.35">
      <c r="A32" s="23" t="s">
        <v>148</v>
      </c>
      <c r="B32" t="s">
        <v>101</v>
      </c>
      <c r="C32" t="s">
        <v>151</v>
      </c>
    </row>
    <row r="33" spans="1:3" hidden="1" x14ac:dyDescent="0.35">
      <c r="A33" s="23"/>
      <c r="B33" t="s">
        <v>152</v>
      </c>
      <c r="C33" t="s">
        <v>153</v>
      </c>
    </row>
  </sheetData>
  <sheetProtection algorithmName="SHA-512" hashValue="XEnC53d1Mwk8ur8N3VbQIZuUEVGVYM6SDT41O5SDnmyifoTH9Q9EDVMCe/TVLD+mFwQnCbz2mYyjzTA6uyzDqQ==" saltValue="sDDV2i0k/ECgWaVQXNFyNw==" spinCount="100000" sheet="1" objects="1" scenarios="1"/>
  <conditionalFormatting sqref="B15:E15">
    <cfRule type="cellIs" dxfId="1" priority="6" stopIfTrue="1" operator="equal">
      <formula>"WARNING"</formula>
    </cfRule>
  </conditionalFormatting>
  <conditionalFormatting sqref="B29:E29">
    <cfRule type="cellIs" dxfId="0" priority="5" stopIfTrue="1" operator="equal">
      <formula>"WARNING"</formula>
    </cfRule>
  </conditionalFormatting>
  <dataValidations disablePrompts="1" xWindow="639" yWindow="500" count="4">
    <dataValidation type="date" allowBlank="1" showInputMessage="1" showErrorMessage="1" errorTitle="Invalid Date" error="Must be in 2026 Financial Year" promptTitle="Commutation Date" prompt="Only Complete if Commuted in the 2026 Financial Year" sqref="B11:E11 B25:E25" xr:uid="{00000000-0002-0000-0300-000000000000}">
      <formula1>45839</formula1>
      <formula2>46203</formula2>
    </dataValidation>
    <dataValidation type="list" allowBlank="1" showInputMessage="1" showErrorMessage="1" errorTitle="PVF Error" error="Either (N)ew or (O)ld" promptTitle="Pension Valuation Factor" prompt="N for New_x000a_O for Old" sqref="B10:E10" xr:uid="{00000000-0002-0000-0300-000001000000}">
      <formula1>$B$32:$B$33</formula1>
    </dataValidation>
    <dataValidation type="whole" allowBlank="1" showInputMessage="1" showErrorMessage="1" errorTitle="Invalid Term" error="Must be a positive whole number" promptTitle="Remaining Term" prompt="Must be a whole number less than 46" sqref="B24:E24" xr:uid="{00000000-0002-0000-0300-000002000000}">
      <formula1>0</formula1>
      <formula2>45</formula2>
    </dataValidation>
    <dataValidation type="date" allowBlank="1" showInputMessage="1" showErrorMessage="1" errorTitle="Invalid Date" error="Date must be in 2026 Financial Year" promptTitle="Calculation Date" prompt="Purchase Date of Pension (if applicable)" sqref="B8:E8 B22:E22" xr:uid="{00000000-0002-0000-0300-000003000000}">
      <formula1>45839</formula1>
      <formula2>46203</formula2>
    </dataValidation>
  </dataValidations>
  <pageMargins left="0.7" right="0.7" top="0.75" bottom="0.75" header="0.3" footer="0.3"/>
  <pageSetup paperSize="9"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S415"/>
  <sheetViews>
    <sheetView topLeftCell="A366" workbookViewId="0">
      <selection activeCell="D389" sqref="D389"/>
    </sheetView>
  </sheetViews>
  <sheetFormatPr defaultRowHeight="12.75" x14ac:dyDescent="0.35"/>
  <cols>
    <col min="1" max="1" width="15.265625" customWidth="1"/>
    <col min="2" max="3" width="9.1328125" customWidth="1"/>
    <col min="4" max="4" width="13" customWidth="1"/>
    <col min="5" max="19" width="9.1328125" customWidth="1"/>
  </cols>
  <sheetData>
    <row r="1" spans="1:19" ht="15" x14ac:dyDescent="0.4">
      <c r="A1" s="8" t="s">
        <v>21</v>
      </c>
      <c r="B1" s="21"/>
      <c r="C1" s="144"/>
      <c r="D1" s="144"/>
      <c r="E1" s="144"/>
      <c r="F1" s="144"/>
      <c r="G1" s="144"/>
      <c r="H1" s="144"/>
      <c r="I1" s="144"/>
      <c r="J1" s="144"/>
      <c r="K1" s="144"/>
      <c r="L1" s="144"/>
      <c r="M1" s="144"/>
      <c r="N1" s="144"/>
      <c r="O1" s="144"/>
      <c r="P1" s="144"/>
      <c r="Q1" s="144"/>
      <c r="R1" s="144"/>
      <c r="S1" s="144"/>
    </row>
    <row r="2" spans="1:19" x14ac:dyDescent="0.35">
      <c r="A2" s="9" t="s">
        <v>36</v>
      </c>
      <c r="B2" s="49"/>
      <c r="C2" s="10"/>
      <c r="D2" s="10"/>
      <c r="E2" s="10"/>
      <c r="F2" s="10"/>
      <c r="G2" s="10"/>
      <c r="H2" s="10"/>
      <c r="I2" s="10"/>
      <c r="J2" s="10"/>
      <c r="K2" s="10"/>
      <c r="L2" s="10"/>
      <c r="M2" s="10"/>
      <c r="N2" s="10"/>
      <c r="O2" s="10"/>
      <c r="P2" s="10"/>
      <c r="Q2" s="10"/>
      <c r="R2" s="10"/>
      <c r="S2" s="10"/>
    </row>
    <row r="3" spans="1:19" x14ac:dyDescent="0.35">
      <c r="A3" s="9" t="s">
        <v>22</v>
      </c>
      <c r="B3" s="51">
        <f>'Fund &amp; Member Details'!B21</f>
        <v>0</v>
      </c>
      <c r="C3" s="51"/>
      <c r="D3" s="51"/>
      <c r="E3" s="51"/>
      <c r="F3" s="51"/>
      <c r="G3" s="51"/>
      <c r="H3" s="51"/>
      <c r="I3" s="51"/>
      <c r="J3" s="51"/>
      <c r="K3" s="51"/>
      <c r="L3" s="51"/>
      <c r="M3" s="51"/>
      <c r="N3" s="51"/>
      <c r="O3" s="51"/>
      <c r="P3" s="51"/>
      <c r="Q3" s="51"/>
      <c r="R3" s="51"/>
      <c r="S3" s="51"/>
    </row>
    <row r="4" spans="1:19" x14ac:dyDescent="0.35">
      <c r="A4" s="9"/>
      <c r="B4" s="50"/>
      <c r="C4" s="10"/>
      <c r="D4" s="10" t="s">
        <v>24</v>
      </c>
      <c r="E4" s="10">
        <f>DATA!K8</f>
        <v>365</v>
      </c>
      <c r="F4" s="10"/>
      <c r="G4" s="10"/>
      <c r="H4" s="10"/>
      <c r="I4" s="10"/>
      <c r="J4" s="10"/>
      <c r="K4" s="10"/>
      <c r="L4" s="10"/>
      <c r="M4" s="10"/>
      <c r="N4" s="10"/>
      <c r="O4" s="10"/>
      <c r="P4" s="10"/>
      <c r="Q4" s="10"/>
      <c r="R4" s="10"/>
      <c r="S4" s="10"/>
    </row>
    <row r="5" spans="1:19" x14ac:dyDescent="0.35">
      <c r="A5" s="9" t="s">
        <v>23</v>
      </c>
      <c r="B5" s="26">
        <v>45839</v>
      </c>
      <c r="C5" s="32"/>
      <c r="D5" s="32"/>
      <c r="E5" s="32"/>
      <c r="F5" s="147" t="s">
        <v>311</v>
      </c>
      <c r="G5" s="32"/>
      <c r="H5" s="32"/>
      <c r="I5" s="32"/>
      <c r="J5" s="32"/>
      <c r="K5" s="32"/>
      <c r="L5" s="32"/>
      <c r="M5" s="147" t="s">
        <v>310</v>
      </c>
      <c r="N5" s="32"/>
      <c r="O5" s="32"/>
      <c r="P5" s="32"/>
      <c r="Q5" s="32"/>
      <c r="R5" s="32"/>
      <c r="S5" s="32"/>
    </row>
    <row r="6" spans="1:19" x14ac:dyDescent="0.35">
      <c r="A6" s="9"/>
      <c r="B6" s="22"/>
      <c r="C6" s="11"/>
      <c r="D6" s="11"/>
      <c r="E6" s="11"/>
      <c r="F6" s="22" t="s">
        <v>67</v>
      </c>
      <c r="G6" s="22" t="s">
        <v>68</v>
      </c>
      <c r="H6" s="22" t="s">
        <v>69</v>
      </c>
      <c r="I6" s="22" t="s">
        <v>70</v>
      </c>
      <c r="J6" s="11" t="s">
        <v>303</v>
      </c>
      <c r="K6" s="11" t="s">
        <v>304</v>
      </c>
      <c r="L6" s="11"/>
      <c r="M6" s="22" t="s">
        <v>67</v>
      </c>
      <c r="N6" s="22" t="s">
        <v>68</v>
      </c>
      <c r="O6" s="22" t="s">
        <v>69</v>
      </c>
      <c r="P6" s="22" t="s">
        <v>70</v>
      </c>
      <c r="Q6" s="11"/>
      <c r="R6" s="11" t="s">
        <v>303</v>
      </c>
      <c r="S6" s="11" t="s">
        <v>304</v>
      </c>
    </row>
    <row r="7" spans="1:19" x14ac:dyDescent="0.35">
      <c r="A7" s="9" t="s">
        <v>25</v>
      </c>
      <c r="B7" s="27"/>
      <c r="C7" s="51"/>
      <c r="D7" s="51"/>
      <c r="E7" s="51"/>
      <c r="F7" s="27" t="str">
        <f>'Fund &amp; Member Details'!B47</f>
        <v/>
      </c>
      <c r="G7" s="27" t="str">
        <f>'Fund &amp; Member Details'!C47</f>
        <v/>
      </c>
      <c r="H7" s="27" t="str">
        <f>'Fund &amp; Member Details'!D47</f>
        <v/>
      </c>
      <c r="I7" s="27" t="str">
        <f>'Fund &amp; Member Details'!E47</f>
        <v/>
      </c>
      <c r="J7" s="51" t="s">
        <v>79</v>
      </c>
      <c r="K7" s="51" t="s">
        <v>166</v>
      </c>
      <c r="L7" s="51"/>
      <c r="M7" s="51" t="str">
        <f>'Fund &amp; Member Details'!B57</f>
        <v/>
      </c>
      <c r="N7" s="51" t="str">
        <f>'Fund &amp; Member Details'!C57</f>
        <v/>
      </c>
      <c r="O7" s="51" t="str">
        <f>'Fund &amp; Member Details'!D57</f>
        <v/>
      </c>
      <c r="P7" s="51" t="str">
        <f>'Fund &amp; Member Details'!E57</f>
        <v/>
      </c>
      <c r="Q7" s="51" t="str">
        <f>'Fund &amp; Member Details'!F57</f>
        <v>Reserve</v>
      </c>
      <c r="R7" s="51" t="s">
        <v>79</v>
      </c>
      <c r="S7" s="51" t="s">
        <v>166</v>
      </c>
    </row>
    <row r="8" spans="1:19" x14ac:dyDescent="0.35">
      <c r="A8" s="9"/>
      <c r="B8" s="29"/>
      <c r="C8" s="28"/>
      <c r="D8" s="28"/>
      <c r="E8" s="28"/>
      <c r="F8" s="29"/>
      <c r="G8" s="29"/>
      <c r="H8" s="29"/>
      <c r="I8" s="29"/>
      <c r="J8" s="28"/>
      <c r="K8" s="28"/>
      <c r="L8" s="28"/>
      <c r="M8" s="28"/>
      <c r="N8" s="28"/>
      <c r="O8" s="28"/>
      <c r="P8" s="28"/>
      <c r="Q8" s="28"/>
      <c r="R8" s="28"/>
      <c r="S8" s="28"/>
    </row>
    <row r="9" spans="1:19" x14ac:dyDescent="0.35">
      <c r="A9" s="9"/>
      <c r="B9" s="10"/>
      <c r="C9" s="13" t="s">
        <v>297</v>
      </c>
      <c r="D9" s="13" t="s">
        <v>300</v>
      </c>
      <c r="E9" s="10"/>
      <c r="F9" s="10"/>
      <c r="G9" s="10"/>
      <c r="H9" s="10"/>
      <c r="I9" s="10"/>
      <c r="J9" s="10"/>
      <c r="K9" s="10"/>
      <c r="L9" s="10"/>
      <c r="M9" s="10"/>
      <c r="N9" s="10"/>
      <c r="O9" s="10"/>
      <c r="P9" s="10"/>
      <c r="Q9" s="10"/>
      <c r="R9" s="10"/>
      <c r="S9" s="10"/>
    </row>
    <row r="10" spans="1:19" x14ac:dyDescent="0.35">
      <c r="A10" s="9"/>
      <c r="B10" s="13"/>
      <c r="C10" s="13" t="s">
        <v>298</v>
      </c>
      <c r="D10" s="13" t="s">
        <v>301</v>
      </c>
      <c r="E10" s="13" t="s">
        <v>26</v>
      </c>
      <c r="F10" s="13"/>
      <c r="G10" s="13"/>
      <c r="H10" s="13"/>
      <c r="I10" s="13"/>
      <c r="J10" s="13"/>
      <c r="K10" s="13"/>
      <c r="L10" s="13"/>
      <c r="M10" s="13"/>
      <c r="N10" s="13"/>
      <c r="O10" s="13"/>
      <c r="P10" s="13"/>
      <c r="Q10" s="13"/>
      <c r="R10" s="13"/>
      <c r="S10" s="13"/>
    </row>
    <row r="11" spans="1:19" x14ac:dyDescent="0.35">
      <c r="A11" s="9"/>
      <c r="B11" s="13"/>
      <c r="C11" s="13" t="s">
        <v>299</v>
      </c>
      <c r="D11" s="13" t="s">
        <v>302</v>
      </c>
      <c r="E11" s="13" t="s">
        <v>27</v>
      </c>
      <c r="F11" s="13"/>
      <c r="G11" s="13"/>
      <c r="H11" s="13"/>
      <c r="I11" s="13"/>
      <c r="J11" s="13"/>
      <c r="K11" s="13"/>
      <c r="L11" s="13"/>
      <c r="M11" s="13"/>
      <c r="N11" s="13"/>
      <c r="O11" s="13"/>
      <c r="P11" s="13"/>
      <c r="Q11" s="13"/>
      <c r="R11" s="13"/>
      <c r="S11" s="13"/>
    </row>
    <row r="12" spans="1:19" x14ac:dyDescent="0.35">
      <c r="A12" s="9"/>
      <c r="B12" s="10"/>
      <c r="C12" s="10"/>
      <c r="D12" s="10"/>
      <c r="E12" s="10"/>
      <c r="F12" s="10"/>
      <c r="G12" s="10"/>
      <c r="H12" s="10"/>
      <c r="I12" s="10"/>
      <c r="J12" s="10"/>
      <c r="K12" s="10"/>
      <c r="L12" s="10"/>
      <c r="M12" s="10"/>
      <c r="N12" s="10"/>
      <c r="O12" s="10"/>
      <c r="P12" s="10"/>
      <c r="Q12" s="10"/>
      <c r="R12" s="10"/>
      <c r="S12" s="10"/>
    </row>
    <row r="13" spans="1:19" x14ac:dyDescent="0.35">
      <c r="A13" s="9"/>
      <c r="B13" s="11"/>
      <c r="C13" s="11"/>
      <c r="D13" s="11"/>
      <c r="E13" s="11"/>
      <c r="F13" s="11"/>
      <c r="G13" s="150" t="s">
        <v>359</v>
      </c>
      <c r="H13" s="11"/>
      <c r="I13" s="11"/>
      <c r="J13" s="11"/>
      <c r="K13" s="11"/>
      <c r="L13" s="11"/>
      <c r="M13" s="11"/>
      <c r="N13" s="11"/>
      <c r="O13" s="11"/>
      <c r="P13" s="11"/>
      <c r="Q13" s="11"/>
      <c r="R13" s="11"/>
      <c r="S13" s="11"/>
    </row>
    <row r="14" spans="1:19" x14ac:dyDescent="0.35">
      <c r="A14" s="9"/>
      <c r="B14" s="11"/>
      <c r="C14" s="11"/>
      <c r="D14" s="11"/>
      <c r="E14" s="11"/>
      <c r="F14" s="11"/>
      <c r="G14" s="11"/>
      <c r="H14" s="11"/>
      <c r="I14" s="11"/>
      <c r="J14" s="11"/>
      <c r="K14" s="11"/>
      <c r="L14" s="11"/>
      <c r="M14" s="11"/>
      <c r="N14" s="11"/>
      <c r="O14" s="11"/>
      <c r="P14" s="11"/>
      <c r="Q14" s="11"/>
      <c r="R14" s="11"/>
      <c r="S14" s="11"/>
    </row>
    <row r="15" spans="1:19" x14ac:dyDescent="0.35">
      <c r="A15" s="9" t="s">
        <v>28</v>
      </c>
      <c r="B15" s="32"/>
      <c r="C15" s="28">
        <f>IF(Check!$B$87=1,1,IF(R15&lt;1,0,1))</f>
        <v>1</v>
      </c>
      <c r="D15" s="28">
        <f>C15</f>
        <v>1</v>
      </c>
      <c r="E15" s="32">
        <v>45839</v>
      </c>
      <c r="F15" s="28">
        <f>SUMIF(Transactions!$C$18:$C$46,'Percentage Calc'!$E15,Transactions!D$18:D$46)</f>
        <v>0</v>
      </c>
      <c r="G15" s="28">
        <f>SUMIF(Transactions!$C$18:$C$46,'Percentage Calc'!$E15,Transactions!E$18:E$46)</f>
        <v>0</v>
      </c>
      <c r="H15" s="28">
        <f>SUMIF(Transactions!$C$18:$C$46,'Percentage Calc'!$E15,Transactions!F$18:F$46)</f>
        <v>0</v>
      </c>
      <c r="I15" s="28">
        <f>SUMIF(Transactions!$C$18:$C$46,'Percentage Calc'!$E15,Transactions!G$18:G$46)</f>
        <v>0</v>
      </c>
      <c r="J15" s="28">
        <f>SUM(F15:I15)+'Fund &amp; Member Details'!G49</f>
        <v>0</v>
      </c>
      <c r="K15" s="28">
        <f>ROUND($C15*J15/$E$4,3)</f>
        <v>0</v>
      </c>
      <c r="L15" s="32"/>
      <c r="M15" s="28">
        <f>SUMIF(Transactions!$K$19:$K$46,'Percentage Calc'!$E15,Transactions!L$19:L$46)</f>
        <v>0</v>
      </c>
      <c r="N15" s="28">
        <f>SUMIF(Transactions!$K$19:$K$46,'Percentage Calc'!$E15,Transactions!M$19:M$46)</f>
        <v>0</v>
      </c>
      <c r="O15" s="28">
        <f>SUMIF(Transactions!$K$19:$K$46,'Percentage Calc'!$E15,Transactions!N$19:N$46)</f>
        <v>0</v>
      </c>
      <c r="P15" s="28">
        <f>SUMIF(Transactions!$K$19:$K$46,'Percentage Calc'!$E15,Transactions!O$19:O$46)</f>
        <v>0</v>
      </c>
      <c r="Q15" s="28">
        <f>SUMIF(Transactions!$K$19:$K$46,'Percentage Calc'!$E15,Transactions!P$19:P$46)</f>
        <v>0</v>
      </c>
      <c r="R15" s="28">
        <f>SUM(M15:Q15)+'Fund &amp; Member Details'!G59+'Fund &amp; Member Details'!G60</f>
        <v>0</v>
      </c>
      <c r="S15" s="28">
        <f>ROUND($C15*R15/$E$4,3)</f>
        <v>0</v>
      </c>
    </row>
    <row r="16" spans="1:19" x14ac:dyDescent="0.35">
      <c r="A16" s="9"/>
      <c r="B16" s="32"/>
      <c r="C16" s="28">
        <f>IF(Check!$B$87=1,1,IF(R16&lt;1,0,1))</f>
        <v>1</v>
      </c>
      <c r="D16" s="28">
        <f>IF(C16&lt;&gt;C15,D15+1,D15)</f>
        <v>1</v>
      </c>
      <c r="E16" s="32">
        <v>45840</v>
      </c>
      <c r="F16" s="28">
        <f>SUMIF(Transactions!$C$18:$C$46,'Percentage Calc'!$E16,Transactions!D$18:D$46)</f>
        <v>0</v>
      </c>
      <c r="G16" s="28">
        <f>SUMIF(Transactions!$C$18:$C$46,'Percentage Calc'!$E16,Transactions!E$18:E$46)</f>
        <v>0</v>
      </c>
      <c r="H16" s="28">
        <f>SUMIF(Transactions!$C$18:$C$46,'Percentage Calc'!$E16,Transactions!F$18:F$46)</f>
        <v>0</v>
      </c>
      <c r="I16" s="28">
        <f>SUMIF(Transactions!$C$18:$C$46,'Percentage Calc'!$E16,Transactions!G$18:G$46)</f>
        <v>0</v>
      </c>
      <c r="J16" s="28">
        <f t="shared" ref="J16:J79" si="0">SUM(F16:I16)+J15</f>
        <v>0</v>
      </c>
      <c r="K16" s="28">
        <f t="shared" ref="K16:K79" si="1">ROUND($C16*J16/$E$4,3)</f>
        <v>0</v>
      </c>
      <c r="L16" s="32"/>
      <c r="M16" s="28">
        <f>SUMIF(Transactions!$K$19:$K$46,'Percentage Calc'!$E16,Transactions!L$19:L$46)</f>
        <v>0</v>
      </c>
      <c r="N16" s="28">
        <f>SUMIF(Transactions!$K$19:$K$46,'Percentage Calc'!$E16,Transactions!M$19:M$46)</f>
        <v>0</v>
      </c>
      <c r="O16" s="28">
        <f>SUMIF(Transactions!$K$19:$K$46,'Percentage Calc'!$E16,Transactions!N$19:N$46)</f>
        <v>0</v>
      </c>
      <c r="P16" s="28">
        <f>SUMIF(Transactions!$K$19:$K$46,'Percentage Calc'!$E16,Transactions!O$19:O$46)</f>
        <v>0</v>
      </c>
      <c r="Q16" s="28">
        <f>SUMIF(Transactions!$K$19:$K$46,'Percentage Calc'!$E16,Transactions!P$19:P$46)</f>
        <v>0</v>
      </c>
      <c r="R16" s="28">
        <f t="shared" ref="R16:R79" si="2">SUM(M16:Q16)+R15</f>
        <v>0</v>
      </c>
      <c r="S16" s="28">
        <f t="shared" ref="S16:S79" si="3">ROUND($C16*R16/$E$4,3)</f>
        <v>0</v>
      </c>
    </row>
    <row r="17" spans="1:19" x14ac:dyDescent="0.35">
      <c r="A17" s="9"/>
      <c r="B17" s="32"/>
      <c r="C17" s="28">
        <f>IF(Check!$B$87=1,1,IF(R17&lt;1,0,1))</f>
        <v>1</v>
      </c>
      <c r="D17" s="28">
        <f t="shared" ref="D17:D80" si="4">IF(C17&lt;&gt;C16,D16+1,D16)</f>
        <v>1</v>
      </c>
      <c r="E17" s="32">
        <v>45841</v>
      </c>
      <c r="F17" s="28">
        <f>SUMIF(Transactions!$C$18:$C$46,'Percentage Calc'!$E17,Transactions!D$18:D$46)</f>
        <v>0</v>
      </c>
      <c r="G17" s="28">
        <f>SUMIF(Transactions!$C$18:$C$46,'Percentage Calc'!$E17,Transactions!E$18:E$46)</f>
        <v>0</v>
      </c>
      <c r="H17" s="28">
        <f>SUMIF(Transactions!$C$18:$C$46,'Percentage Calc'!$E17,Transactions!F$18:F$46)</f>
        <v>0</v>
      </c>
      <c r="I17" s="28">
        <f>SUMIF(Transactions!$C$18:$C$46,'Percentage Calc'!$E17,Transactions!G$18:G$46)</f>
        <v>0</v>
      </c>
      <c r="J17" s="28">
        <f t="shared" si="0"/>
        <v>0</v>
      </c>
      <c r="K17" s="28">
        <f t="shared" si="1"/>
        <v>0</v>
      </c>
      <c r="L17" s="32"/>
      <c r="M17" s="28">
        <f>SUMIF(Transactions!$K$19:$K$46,'Percentage Calc'!$E17,Transactions!L$19:L$46)</f>
        <v>0</v>
      </c>
      <c r="N17" s="28">
        <f>SUMIF(Transactions!$K$19:$K$46,'Percentage Calc'!$E17,Transactions!M$19:M$46)</f>
        <v>0</v>
      </c>
      <c r="O17" s="28">
        <f>SUMIF(Transactions!$K$19:$K$46,'Percentage Calc'!$E17,Transactions!N$19:N$46)</f>
        <v>0</v>
      </c>
      <c r="P17" s="28">
        <f>SUMIF(Transactions!$K$19:$K$46,'Percentage Calc'!$E17,Transactions!O$19:O$46)</f>
        <v>0</v>
      </c>
      <c r="Q17" s="28">
        <f>SUMIF(Transactions!$K$19:$K$46,'Percentage Calc'!$E17,Transactions!P$19:P$46)</f>
        <v>0</v>
      </c>
      <c r="R17" s="28">
        <f t="shared" si="2"/>
        <v>0</v>
      </c>
      <c r="S17" s="28">
        <f t="shared" si="3"/>
        <v>0</v>
      </c>
    </row>
    <row r="18" spans="1:19" x14ac:dyDescent="0.35">
      <c r="A18" s="9"/>
      <c r="B18" s="32"/>
      <c r="C18" s="28">
        <f>IF(Check!$B$87=1,1,IF(R18&lt;1,0,1))</f>
        <v>1</v>
      </c>
      <c r="D18" s="28">
        <f t="shared" si="4"/>
        <v>1</v>
      </c>
      <c r="E18" s="32">
        <v>45842</v>
      </c>
      <c r="F18" s="28">
        <f>SUMIF(Transactions!$C$18:$C$46,'Percentage Calc'!$E18,Transactions!D$18:D$46)</f>
        <v>0</v>
      </c>
      <c r="G18" s="28">
        <f>SUMIF(Transactions!$C$18:$C$46,'Percentage Calc'!$E18,Transactions!E$18:E$46)</f>
        <v>0</v>
      </c>
      <c r="H18" s="28">
        <f>SUMIF(Transactions!$C$18:$C$46,'Percentage Calc'!$E18,Transactions!F$18:F$46)</f>
        <v>0</v>
      </c>
      <c r="I18" s="28">
        <f>SUMIF(Transactions!$C$18:$C$46,'Percentage Calc'!$E18,Transactions!G$18:G$46)</f>
        <v>0</v>
      </c>
      <c r="J18" s="28">
        <f t="shared" si="0"/>
        <v>0</v>
      </c>
      <c r="K18" s="28">
        <f t="shared" si="1"/>
        <v>0</v>
      </c>
      <c r="L18" s="32"/>
      <c r="M18" s="28">
        <f>SUMIF(Transactions!$K$19:$K$46,'Percentage Calc'!$E18,Transactions!L$19:L$46)</f>
        <v>0</v>
      </c>
      <c r="N18" s="28">
        <f>SUMIF(Transactions!$K$19:$K$46,'Percentage Calc'!$E18,Transactions!M$19:M$46)</f>
        <v>0</v>
      </c>
      <c r="O18" s="28">
        <f>SUMIF(Transactions!$K$19:$K$46,'Percentage Calc'!$E18,Transactions!N$19:N$46)</f>
        <v>0</v>
      </c>
      <c r="P18" s="28">
        <f>SUMIF(Transactions!$K$19:$K$46,'Percentage Calc'!$E18,Transactions!O$19:O$46)</f>
        <v>0</v>
      </c>
      <c r="Q18" s="28">
        <f>SUMIF(Transactions!$K$19:$K$46,'Percentage Calc'!$E18,Transactions!P$19:P$46)</f>
        <v>0</v>
      </c>
      <c r="R18" s="28">
        <f t="shared" si="2"/>
        <v>0</v>
      </c>
      <c r="S18" s="28">
        <f t="shared" si="3"/>
        <v>0</v>
      </c>
    </row>
    <row r="19" spans="1:19" x14ac:dyDescent="0.35">
      <c r="A19" s="9"/>
      <c r="B19" s="32"/>
      <c r="C19" s="28">
        <f>IF(Check!$B$87=1,1,IF(R19&lt;1,0,1))</f>
        <v>1</v>
      </c>
      <c r="D19" s="28">
        <f t="shared" si="4"/>
        <v>1</v>
      </c>
      <c r="E19" s="32">
        <v>45843</v>
      </c>
      <c r="F19" s="28">
        <f>SUMIF(Transactions!$C$18:$C$46,'Percentage Calc'!$E19,Transactions!D$18:D$46)</f>
        <v>0</v>
      </c>
      <c r="G19" s="28">
        <f>SUMIF(Transactions!$C$18:$C$46,'Percentage Calc'!$E19,Transactions!E$18:E$46)</f>
        <v>0</v>
      </c>
      <c r="H19" s="28">
        <f>SUMIF(Transactions!$C$18:$C$46,'Percentage Calc'!$E19,Transactions!F$18:F$46)</f>
        <v>0</v>
      </c>
      <c r="I19" s="28">
        <f>SUMIF(Transactions!$C$18:$C$46,'Percentage Calc'!$E19,Transactions!G$18:G$46)</f>
        <v>0</v>
      </c>
      <c r="J19" s="28">
        <f t="shared" si="0"/>
        <v>0</v>
      </c>
      <c r="K19" s="28">
        <f t="shared" si="1"/>
        <v>0</v>
      </c>
      <c r="L19" s="32"/>
      <c r="M19" s="28">
        <f>SUMIF(Transactions!$K$19:$K$46,'Percentage Calc'!$E19,Transactions!L$19:L$46)</f>
        <v>0</v>
      </c>
      <c r="N19" s="28">
        <f>SUMIF(Transactions!$K$19:$K$46,'Percentage Calc'!$E19,Transactions!M$19:M$46)</f>
        <v>0</v>
      </c>
      <c r="O19" s="28">
        <f>SUMIF(Transactions!$K$19:$K$46,'Percentage Calc'!$E19,Transactions!N$19:N$46)</f>
        <v>0</v>
      </c>
      <c r="P19" s="28">
        <f>SUMIF(Transactions!$K$19:$K$46,'Percentage Calc'!$E19,Transactions!O$19:O$46)</f>
        <v>0</v>
      </c>
      <c r="Q19" s="28">
        <f>SUMIF(Transactions!$K$19:$K$46,'Percentage Calc'!$E19,Transactions!P$19:P$46)</f>
        <v>0</v>
      </c>
      <c r="R19" s="28">
        <f t="shared" si="2"/>
        <v>0</v>
      </c>
      <c r="S19" s="28">
        <f t="shared" si="3"/>
        <v>0</v>
      </c>
    </row>
    <row r="20" spans="1:19" x14ac:dyDescent="0.35">
      <c r="A20" s="9"/>
      <c r="B20" s="32"/>
      <c r="C20" s="28">
        <f>IF(Check!$B$87=1,1,IF(R20&lt;1,0,1))</f>
        <v>1</v>
      </c>
      <c r="D20" s="28">
        <f t="shared" si="4"/>
        <v>1</v>
      </c>
      <c r="E20" s="32">
        <v>45844</v>
      </c>
      <c r="F20" s="28">
        <f>SUMIF(Transactions!$C$18:$C$46,'Percentage Calc'!$E20,Transactions!D$18:D$46)</f>
        <v>0</v>
      </c>
      <c r="G20" s="28">
        <f>SUMIF(Transactions!$C$18:$C$46,'Percentage Calc'!$E20,Transactions!E$18:E$46)</f>
        <v>0</v>
      </c>
      <c r="H20" s="28">
        <f>SUMIF(Transactions!$C$18:$C$46,'Percentage Calc'!$E20,Transactions!F$18:F$46)</f>
        <v>0</v>
      </c>
      <c r="I20" s="28">
        <f>SUMIF(Transactions!$C$18:$C$46,'Percentage Calc'!$E20,Transactions!G$18:G$46)</f>
        <v>0</v>
      </c>
      <c r="J20" s="28">
        <f t="shared" si="0"/>
        <v>0</v>
      </c>
      <c r="K20" s="28">
        <f t="shared" si="1"/>
        <v>0</v>
      </c>
      <c r="L20" s="32"/>
      <c r="M20" s="28">
        <f>SUMIF(Transactions!$K$19:$K$46,'Percentage Calc'!$E20,Transactions!L$19:L$46)</f>
        <v>0</v>
      </c>
      <c r="N20" s="28">
        <f>SUMIF(Transactions!$K$19:$K$46,'Percentage Calc'!$E20,Transactions!M$19:M$46)</f>
        <v>0</v>
      </c>
      <c r="O20" s="28">
        <f>SUMIF(Transactions!$K$19:$K$46,'Percentage Calc'!$E20,Transactions!N$19:N$46)</f>
        <v>0</v>
      </c>
      <c r="P20" s="28">
        <f>SUMIF(Transactions!$K$19:$K$46,'Percentage Calc'!$E20,Transactions!O$19:O$46)</f>
        <v>0</v>
      </c>
      <c r="Q20" s="28">
        <f>SUMIF(Transactions!$K$19:$K$46,'Percentage Calc'!$E20,Transactions!P$19:P$46)</f>
        <v>0</v>
      </c>
      <c r="R20" s="28">
        <f t="shared" si="2"/>
        <v>0</v>
      </c>
      <c r="S20" s="28">
        <f t="shared" si="3"/>
        <v>0</v>
      </c>
    </row>
    <row r="21" spans="1:19" x14ac:dyDescent="0.35">
      <c r="A21" s="9"/>
      <c r="B21" s="32"/>
      <c r="C21" s="28">
        <f>IF(Check!$B$87=1,1,IF(R21&lt;1,0,1))</f>
        <v>1</v>
      </c>
      <c r="D21" s="28">
        <f t="shared" si="4"/>
        <v>1</v>
      </c>
      <c r="E21" s="32">
        <v>45845</v>
      </c>
      <c r="F21" s="28">
        <f>SUMIF(Transactions!$C$18:$C$46,'Percentage Calc'!$E21,Transactions!D$18:D$46)</f>
        <v>0</v>
      </c>
      <c r="G21" s="28">
        <f>SUMIF(Transactions!$C$18:$C$46,'Percentage Calc'!$E21,Transactions!E$18:E$46)</f>
        <v>0</v>
      </c>
      <c r="H21" s="28">
        <f>SUMIF(Transactions!$C$18:$C$46,'Percentage Calc'!$E21,Transactions!F$18:F$46)</f>
        <v>0</v>
      </c>
      <c r="I21" s="28">
        <f>SUMIF(Transactions!$C$18:$C$46,'Percentage Calc'!$E21,Transactions!G$18:G$46)</f>
        <v>0</v>
      </c>
      <c r="J21" s="28">
        <f t="shared" si="0"/>
        <v>0</v>
      </c>
      <c r="K21" s="28">
        <f t="shared" si="1"/>
        <v>0</v>
      </c>
      <c r="L21" s="32"/>
      <c r="M21" s="28">
        <f>SUMIF(Transactions!$K$19:$K$46,'Percentage Calc'!$E21,Transactions!L$19:L$46)</f>
        <v>0</v>
      </c>
      <c r="N21" s="28">
        <f>SUMIF(Transactions!$K$19:$K$46,'Percentage Calc'!$E21,Transactions!M$19:M$46)</f>
        <v>0</v>
      </c>
      <c r="O21" s="28">
        <f>SUMIF(Transactions!$K$19:$K$46,'Percentage Calc'!$E21,Transactions!N$19:N$46)</f>
        <v>0</v>
      </c>
      <c r="P21" s="28">
        <f>SUMIF(Transactions!$K$19:$K$46,'Percentage Calc'!$E21,Transactions!O$19:O$46)</f>
        <v>0</v>
      </c>
      <c r="Q21" s="28">
        <f>SUMIF(Transactions!$K$19:$K$46,'Percentage Calc'!$E21,Transactions!P$19:P$46)</f>
        <v>0</v>
      </c>
      <c r="R21" s="28">
        <f t="shared" si="2"/>
        <v>0</v>
      </c>
      <c r="S21" s="28">
        <f t="shared" si="3"/>
        <v>0</v>
      </c>
    </row>
    <row r="22" spans="1:19" x14ac:dyDescent="0.35">
      <c r="A22" s="9"/>
      <c r="B22" s="32"/>
      <c r="C22" s="28">
        <f>IF(Check!$B$87=1,1,IF(R22&lt;1,0,1))</f>
        <v>1</v>
      </c>
      <c r="D22" s="28">
        <f t="shared" si="4"/>
        <v>1</v>
      </c>
      <c r="E22" s="32">
        <v>45846</v>
      </c>
      <c r="F22" s="28">
        <f>SUMIF(Transactions!$C$18:$C$46,'Percentage Calc'!$E22,Transactions!D$18:D$46)</f>
        <v>0</v>
      </c>
      <c r="G22" s="28">
        <f>SUMIF(Transactions!$C$18:$C$46,'Percentage Calc'!$E22,Transactions!E$18:E$46)</f>
        <v>0</v>
      </c>
      <c r="H22" s="28">
        <f>SUMIF(Transactions!$C$18:$C$46,'Percentage Calc'!$E22,Transactions!F$18:F$46)</f>
        <v>0</v>
      </c>
      <c r="I22" s="28">
        <f>SUMIF(Transactions!$C$18:$C$46,'Percentage Calc'!$E22,Transactions!G$18:G$46)</f>
        <v>0</v>
      </c>
      <c r="J22" s="28">
        <f t="shared" si="0"/>
        <v>0</v>
      </c>
      <c r="K22" s="28">
        <f t="shared" si="1"/>
        <v>0</v>
      </c>
      <c r="L22" s="32"/>
      <c r="M22" s="28">
        <f>SUMIF(Transactions!$K$19:$K$46,'Percentage Calc'!$E22,Transactions!L$19:L$46)</f>
        <v>0</v>
      </c>
      <c r="N22" s="28">
        <f>SUMIF(Transactions!$K$19:$K$46,'Percentage Calc'!$E22,Transactions!M$19:M$46)</f>
        <v>0</v>
      </c>
      <c r="O22" s="28">
        <f>SUMIF(Transactions!$K$19:$K$46,'Percentage Calc'!$E22,Transactions!N$19:N$46)</f>
        <v>0</v>
      </c>
      <c r="P22" s="28">
        <f>SUMIF(Transactions!$K$19:$K$46,'Percentage Calc'!$E22,Transactions!O$19:O$46)</f>
        <v>0</v>
      </c>
      <c r="Q22" s="28">
        <f>SUMIF(Transactions!$K$19:$K$46,'Percentage Calc'!$E22,Transactions!P$19:P$46)</f>
        <v>0</v>
      </c>
      <c r="R22" s="28">
        <f t="shared" si="2"/>
        <v>0</v>
      </c>
      <c r="S22" s="28">
        <f t="shared" si="3"/>
        <v>0</v>
      </c>
    </row>
    <row r="23" spans="1:19" x14ac:dyDescent="0.35">
      <c r="A23" s="9"/>
      <c r="B23" s="32"/>
      <c r="C23" s="28">
        <f>IF(Check!$B$87=1,1,IF(R23&lt;1,0,1))</f>
        <v>1</v>
      </c>
      <c r="D23" s="28">
        <f t="shared" si="4"/>
        <v>1</v>
      </c>
      <c r="E23" s="32">
        <v>45847</v>
      </c>
      <c r="F23" s="28">
        <f>SUMIF(Transactions!$C$18:$C$46,'Percentage Calc'!$E23,Transactions!D$18:D$46)</f>
        <v>0</v>
      </c>
      <c r="G23" s="28">
        <f>SUMIF(Transactions!$C$18:$C$46,'Percentage Calc'!$E23,Transactions!E$18:E$46)</f>
        <v>0</v>
      </c>
      <c r="H23" s="28">
        <f>SUMIF(Transactions!$C$18:$C$46,'Percentage Calc'!$E23,Transactions!F$18:F$46)</f>
        <v>0</v>
      </c>
      <c r="I23" s="28">
        <f>SUMIF(Transactions!$C$18:$C$46,'Percentage Calc'!$E23,Transactions!G$18:G$46)</f>
        <v>0</v>
      </c>
      <c r="J23" s="28">
        <f t="shared" si="0"/>
        <v>0</v>
      </c>
      <c r="K23" s="28">
        <f t="shared" si="1"/>
        <v>0</v>
      </c>
      <c r="L23" s="32"/>
      <c r="M23" s="28">
        <f>SUMIF(Transactions!$K$19:$K$46,'Percentage Calc'!$E23,Transactions!L$19:L$46)</f>
        <v>0</v>
      </c>
      <c r="N23" s="28">
        <f>SUMIF(Transactions!$K$19:$K$46,'Percentage Calc'!$E23,Transactions!M$19:M$46)</f>
        <v>0</v>
      </c>
      <c r="O23" s="28">
        <f>SUMIF(Transactions!$K$19:$K$46,'Percentage Calc'!$E23,Transactions!N$19:N$46)</f>
        <v>0</v>
      </c>
      <c r="P23" s="28">
        <f>SUMIF(Transactions!$K$19:$K$46,'Percentage Calc'!$E23,Transactions!O$19:O$46)</f>
        <v>0</v>
      </c>
      <c r="Q23" s="28">
        <f>SUMIF(Transactions!$K$19:$K$46,'Percentage Calc'!$E23,Transactions!P$19:P$46)</f>
        <v>0</v>
      </c>
      <c r="R23" s="28">
        <f t="shared" si="2"/>
        <v>0</v>
      </c>
      <c r="S23" s="28">
        <f t="shared" si="3"/>
        <v>0</v>
      </c>
    </row>
    <row r="24" spans="1:19" x14ac:dyDescent="0.35">
      <c r="A24" s="9"/>
      <c r="B24" s="32"/>
      <c r="C24" s="28">
        <f>IF(Check!$B$87=1,1,IF(R24&lt;1,0,1))</f>
        <v>1</v>
      </c>
      <c r="D24" s="28">
        <f t="shared" si="4"/>
        <v>1</v>
      </c>
      <c r="E24" s="32">
        <v>45848</v>
      </c>
      <c r="F24" s="28">
        <f>SUMIF(Transactions!$C$18:$C$46,'Percentage Calc'!$E24,Transactions!D$18:D$46)</f>
        <v>0</v>
      </c>
      <c r="G24" s="28">
        <f>SUMIF(Transactions!$C$18:$C$46,'Percentage Calc'!$E24,Transactions!E$18:E$46)</f>
        <v>0</v>
      </c>
      <c r="H24" s="28">
        <f>SUMIF(Transactions!$C$18:$C$46,'Percentage Calc'!$E24,Transactions!F$18:F$46)</f>
        <v>0</v>
      </c>
      <c r="I24" s="28">
        <f>SUMIF(Transactions!$C$18:$C$46,'Percentage Calc'!$E24,Transactions!G$18:G$46)</f>
        <v>0</v>
      </c>
      <c r="J24" s="28">
        <f t="shared" si="0"/>
        <v>0</v>
      </c>
      <c r="K24" s="28">
        <f t="shared" si="1"/>
        <v>0</v>
      </c>
      <c r="L24" s="32"/>
      <c r="M24" s="28">
        <f>SUMIF(Transactions!$K$19:$K$46,'Percentage Calc'!$E24,Transactions!L$19:L$46)</f>
        <v>0</v>
      </c>
      <c r="N24" s="28">
        <f>SUMIF(Transactions!$K$19:$K$46,'Percentage Calc'!$E24,Transactions!M$19:M$46)</f>
        <v>0</v>
      </c>
      <c r="O24" s="28">
        <f>SUMIF(Transactions!$K$19:$K$46,'Percentage Calc'!$E24,Transactions!N$19:N$46)</f>
        <v>0</v>
      </c>
      <c r="P24" s="28">
        <f>SUMIF(Transactions!$K$19:$K$46,'Percentage Calc'!$E24,Transactions!O$19:O$46)</f>
        <v>0</v>
      </c>
      <c r="Q24" s="28">
        <f>SUMIF(Transactions!$K$19:$K$46,'Percentage Calc'!$E24,Transactions!P$19:P$46)</f>
        <v>0</v>
      </c>
      <c r="R24" s="28">
        <f t="shared" si="2"/>
        <v>0</v>
      </c>
      <c r="S24" s="28">
        <f t="shared" si="3"/>
        <v>0</v>
      </c>
    </row>
    <row r="25" spans="1:19" x14ac:dyDescent="0.35">
      <c r="A25" s="9"/>
      <c r="B25" s="32"/>
      <c r="C25" s="28">
        <f>IF(Check!$B$87=1,1,IF(R25&lt;1,0,1))</f>
        <v>1</v>
      </c>
      <c r="D25" s="28">
        <f t="shared" si="4"/>
        <v>1</v>
      </c>
      <c r="E25" s="32">
        <v>45849</v>
      </c>
      <c r="F25" s="28">
        <f>SUMIF(Transactions!$C$18:$C$46,'Percentage Calc'!$E25,Transactions!D$18:D$46)</f>
        <v>0</v>
      </c>
      <c r="G25" s="28">
        <f>SUMIF(Transactions!$C$18:$C$46,'Percentage Calc'!$E25,Transactions!E$18:E$46)</f>
        <v>0</v>
      </c>
      <c r="H25" s="28">
        <f>SUMIF(Transactions!$C$18:$C$46,'Percentage Calc'!$E25,Transactions!F$18:F$46)</f>
        <v>0</v>
      </c>
      <c r="I25" s="28">
        <f>SUMIF(Transactions!$C$18:$C$46,'Percentage Calc'!$E25,Transactions!G$18:G$46)</f>
        <v>0</v>
      </c>
      <c r="J25" s="28">
        <f t="shared" si="0"/>
        <v>0</v>
      </c>
      <c r="K25" s="28">
        <f t="shared" si="1"/>
        <v>0</v>
      </c>
      <c r="L25" s="32"/>
      <c r="M25" s="28">
        <f>SUMIF(Transactions!$K$19:$K$46,'Percentage Calc'!$E25,Transactions!L$19:L$46)</f>
        <v>0</v>
      </c>
      <c r="N25" s="28">
        <f>SUMIF(Transactions!$K$19:$K$46,'Percentage Calc'!$E25,Transactions!M$19:M$46)</f>
        <v>0</v>
      </c>
      <c r="O25" s="28">
        <f>SUMIF(Transactions!$K$19:$K$46,'Percentage Calc'!$E25,Transactions!N$19:N$46)</f>
        <v>0</v>
      </c>
      <c r="P25" s="28">
        <f>SUMIF(Transactions!$K$19:$K$46,'Percentage Calc'!$E25,Transactions!O$19:O$46)</f>
        <v>0</v>
      </c>
      <c r="Q25" s="28">
        <f>SUMIF(Transactions!$K$19:$K$46,'Percentage Calc'!$E25,Transactions!P$19:P$46)</f>
        <v>0</v>
      </c>
      <c r="R25" s="28">
        <f t="shared" si="2"/>
        <v>0</v>
      </c>
      <c r="S25" s="28">
        <f t="shared" si="3"/>
        <v>0</v>
      </c>
    </row>
    <row r="26" spans="1:19" x14ac:dyDescent="0.35">
      <c r="A26" s="9"/>
      <c r="B26" s="32"/>
      <c r="C26" s="28">
        <f>IF(Check!$B$87=1,1,IF(R26&lt;1,0,1))</f>
        <v>1</v>
      </c>
      <c r="D26" s="28">
        <f t="shared" si="4"/>
        <v>1</v>
      </c>
      <c r="E26" s="32">
        <v>45850</v>
      </c>
      <c r="F26" s="28">
        <f>SUMIF(Transactions!$C$18:$C$46,'Percentage Calc'!$E26,Transactions!D$18:D$46)</f>
        <v>0</v>
      </c>
      <c r="G26" s="28">
        <f>SUMIF(Transactions!$C$18:$C$46,'Percentage Calc'!$E26,Transactions!E$18:E$46)</f>
        <v>0</v>
      </c>
      <c r="H26" s="28">
        <f>SUMIF(Transactions!$C$18:$C$46,'Percentage Calc'!$E26,Transactions!F$18:F$46)</f>
        <v>0</v>
      </c>
      <c r="I26" s="28">
        <f>SUMIF(Transactions!$C$18:$C$46,'Percentage Calc'!$E26,Transactions!G$18:G$46)</f>
        <v>0</v>
      </c>
      <c r="J26" s="28">
        <f t="shared" si="0"/>
        <v>0</v>
      </c>
      <c r="K26" s="28">
        <f t="shared" si="1"/>
        <v>0</v>
      </c>
      <c r="L26" s="32"/>
      <c r="M26" s="28">
        <f>SUMIF(Transactions!$K$19:$K$46,'Percentage Calc'!$E26,Transactions!L$19:L$46)</f>
        <v>0</v>
      </c>
      <c r="N26" s="28">
        <f>SUMIF(Transactions!$K$19:$K$46,'Percentage Calc'!$E26,Transactions!M$19:M$46)</f>
        <v>0</v>
      </c>
      <c r="O26" s="28">
        <f>SUMIF(Transactions!$K$19:$K$46,'Percentage Calc'!$E26,Transactions!N$19:N$46)</f>
        <v>0</v>
      </c>
      <c r="P26" s="28">
        <f>SUMIF(Transactions!$K$19:$K$46,'Percentage Calc'!$E26,Transactions!O$19:O$46)</f>
        <v>0</v>
      </c>
      <c r="Q26" s="28">
        <f>SUMIF(Transactions!$K$19:$K$46,'Percentage Calc'!$E26,Transactions!P$19:P$46)</f>
        <v>0</v>
      </c>
      <c r="R26" s="28">
        <f t="shared" si="2"/>
        <v>0</v>
      </c>
      <c r="S26" s="28">
        <f t="shared" si="3"/>
        <v>0</v>
      </c>
    </row>
    <row r="27" spans="1:19" x14ac:dyDescent="0.35">
      <c r="A27" s="9"/>
      <c r="B27" s="32"/>
      <c r="C27" s="28">
        <f>IF(Check!$B$87=1,1,IF(R27&lt;1,0,1))</f>
        <v>1</v>
      </c>
      <c r="D27" s="28">
        <f t="shared" si="4"/>
        <v>1</v>
      </c>
      <c r="E27" s="32">
        <v>45851</v>
      </c>
      <c r="F27" s="28">
        <f>SUMIF(Transactions!$C$18:$C$46,'Percentage Calc'!$E27,Transactions!D$18:D$46)</f>
        <v>0</v>
      </c>
      <c r="G27" s="28">
        <f>SUMIF(Transactions!$C$18:$C$46,'Percentage Calc'!$E27,Transactions!E$18:E$46)</f>
        <v>0</v>
      </c>
      <c r="H27" s="28">
        <f>SUMIF(Transactions!$C$18:$C$46,'Percentage Calc'!$E27,Transactions!F$18:F$46)</f>
        <v>0</v>
      </c>
      <c r="I27" s="28">
        <f>SUMIF(Transactions!$C$18:$C$46,'Percentage Calc'!$E27,Transactions!G$18:G$46)</f>
        <v>0</v>
      </c>
      <c r="J27" s="28">
        <f t="shared" si="0"/>
        <v>0</v>
      </c>
      <c r="K27" s="28">
        <f t="shared" si="1"/>
        <v>0</v>
      </c>
      <c r="L27" s="32"/>
      <c r="M27" s="28">
        <f>SUMIF(Transactions!$K$19:$K$46,'Percentage Calc'!$E27,Transactions!L$19:L$46)</f>
        <v>0</v>
      </c>
      <c r="N27" s="28">
        <f>SUMIF(Transactions!$K$19:$K$46,'Percentage Calc'!$E27,Transactions!M$19:M$46)</f>
        <v>0</v>
      </c>
      <c r="O27" s="28">
        <f>SUMIF(Transactions!$K$19:$K$46,'Percentage Calc'!$E27,Transactions!N$19:N$46)</f>
        <v>0</v>
      </c>
      <c r="P27" s="28">
        <f>SUMIF(Transactions!$K$19:$K$46,'Percentage Calc'!$E27,Transactions!O$19:O$46)</f>
        <v>0</v>
      </c>
      <c r="Q27" s="28">
        <f>SUMIF(Transactions!$K$19:$K$46,'Percentage Calc'!$E27,Transactions!P$19:P$46)</f>
        <v>0</v>
      </c>
      <c r="R27" s="28">
        <f t="shared" si="2"/>
        <v>0</v>
      </c>
      <c r="S27" s="28">
        <f t="shared" si="3"/>
        <v>0</v>
      </c>
    </row>
    <row r="28" spans="1:19" x14ac:dyDescent="0.35">
      <c r="A28" s="9"/>
      <c r="B28" s="32"/>
      <c r="C28" s="28">
        <f>IF(Check!$B$87=1,1,IF(R28&lt;1,0,1))</f>
        <v>1</v>
      </c>
      <c r="D28" s="28">
        <f t="shared" si="4"/>
        <v>1</v>
      </c>
      <c r="E28" s="32">
        <v>45852</v>
      </c>
      <c r="F28" s="28">
        <f>SUMIF(Transactions!$C$18:$C$46,'Percentage Calc'!$E28,Transactions!D$18:D$46)</f>
        <v>0</v>
      </c>
      <c r="G28" s="28">
        <f>SUMIF(Transactions!$C$18:$C$46,'Percentage Calc'!$E28,Transactions!E$18:E$46)</f>
        <v>0</v>
      </c>
      <c r="H28" s="28">
        <f>SUMIF(Transactions!$C$18:$C$46,'Percentage Calc'!$E28,Transactions!F$18:F$46)</f>
        <v>0</v>
      </c>
      <c r="I28" s="28">
        <f>SUMIF(Transactions!$C$18:$C$46,'Percentage Calc'!$E28,Transactions!G$18:G$46)</f>
        <v>0</v>
      </c>
      <c r="J28" s="28">
        <f t="shared" si="0"/>
        <v>0</v>
      </c>
      <c r="K28" s="28">
        <f t="shared" si="1"/>
        <v>0</v>
      </c>
      <c r="L28" s="32"/>
      <c r="M28" s="28">
        <f>SUMIF(Transactions!$K$19:$K$46,'Percentage Calc'!$E28,Transactions!L$19:L$46)</f>
        <v>0</v>
      </c>
      <c r="N28" s="28">
        <f>SUMIF(Transactions!$K$19:$K$46,'Percentage Calc'!$E28,Transactions!M$19:M$46)</f>
        <v>0</v>
      </c>
      <c r="O28" s="28">
        <f>SUMIF(Transactions!$K$19:$K$46,'Percentage Calc'!$E28,Transactions!N$19:N$46)</f>
        <v>0</v>
      </c>
      <c r="P28" s="28">
        <f>SUMIF(Transactions!$K$19:$K$46,'Percentage Calc'!$E28,Transactions!O$19:O$46)</f>
        <v>0</v>
      </c>
      <c r="Q28" s="28">
        <f>SUMIF(Transactions!$K$19:$K$46,'Percentage Calc'!$E28,Transactions!P$19:P$46)</f>
        <v>0</v>
      </c>
      <c r="R28" s="28">
        <f t="shared" si="2"/>
        <v>0</v>
      </c>
      <c r="S28" s="28">
        <f t="shared" si="3"/>
        <v>0</v>
      </c>
    </row>
    <row r="29" spans="1:19" x14ac:dyDescent="0.35">
      <c r="A29" s="9"/>
      <c r="B29" s="32"/>
      <c r="C29" s="28">
        <f>IF(Check!$B$87=1,1,IF(R29&lt;1,0,1))</f>
        <v>1</v>
      </c>
      <c r="D29" s="28">
        <f t="shared" si="4"/>
        <v>1</v>
      </c>
      <c r="E29" s="32">
        <v>45853</v>
      </c>
      <c r="F29" s="28">
        <f>SUMIF(Transactions!$C$18:$C$46,'Percentage Calc'!$E29,Transactions!D$18:D$46)</f>
        <v>0</v>
      </c>
      <c r="G29" s="28">
        <f>SUMIF(Transactions!$C$18:$C$46,'Percentage Calc'!$E29,Transactions!E$18:E$46)</f>
        <v>0</v>
      </c>
      <c r="H29" s="28">
        <f>SUMIF(Transactions!$C$18:$C$46,'Percentage Calc'!$E29,Transactions!F$18:F$46)</f>
        <v>0</v>
      </c>
      <c r="I29" s="28">
        <f>SUMIF(Transactions!$C$18:$C$46,'Percentage Calc'!$E29,Transactions!G$18:G$46)</f>
        <v>0</v>
      </c>
      <c r="J29" s="28">
        <f t="shared" si="0"/>
        <v>0</v>
      </c>
      <c r="K29" s="28">
        <f t="shared" si="1"/>
        <v>0</v>
      </c>
      <c r="L29" s="32"/>
      <c r="M29" s="28">
        <f>SUMIF(Transactions!$K$19:$K$46,'Percentage Calc'!$E29,Transactions!L$19:L$46)</f>
        <v>0</v>
      </c>
      <c r="N29" s="28">
        <f>SUMIF(Transactions!$K$19:$K$46,'Percentage Calc'!$E29,Transactions!M$19:M$46)</f>
        <v>0</v>
      </c>
      <c r="O29" s="28">
        <f>SUMIF(Transactions!$K$19:$K$46,'Percentage Calc'!$E29,Transactions!N$19:N$46)</f>
        <v>0</v>
      </c>
      <c r="P29" s="28">
        <f>SUMIF(Transactions!$K$19:$K$46,'Percentage Calc'!$E29,Transactions!O$19:O$46)</f>
        <v>0</v>
      </c>
      <c r="Q29" s="28">
        <f>SUMIF(Transactions!$K$19:$K$46,'Percentage Calc'!$E29,Transactions!P$19:P$46)</f>
        <v>0</v>
      </c>
      <c r="R29" s="28">
        <f t="shared" si="2"/>
        <v>0</v>
      </c>
      <c r="S29" s="28">
        <f t="shared" si="3"/>
        <v>0</v>
      </c>
    </row>
    <row r="30" spans="1:19" x14ac:dyDescent="0.35">
      <c r="A30" s="9"/>
      <c r="B30" s="32"/>
      <c r="C30" s="28">
        <f>IF(Check!$B$87=1,1,IF(R30&lt;1,0,1))</f>
        <v>1</v>
      </c>
      <c r="D30" s="28">
        <f t="shared" si="4"/>
        <v>1</v>
      </c>
      <c r="E30" s="32">
        <v>45854</v>
      </c>
      <c r="F30" s="28">
        <f>SUMIF(Transactions!$C$18:$C$46,'Percentage Calc'!$E30,Transactions!D$18:D$46)</f>
        <v>0</v>
      </c>
      <c r="G30" s="28">
        <f>SUMIF(Transactions!$C$18:$C$46,'Percentage Calc'!$E30,Transactions!E$18:E$46)</f>
        <v>0</v>
      </c>
      <c r="H30" s="28">
        <f>SUMIF(Transactions!$C$18:$C$46,'Percentage Calc'!$E30,Transactions!F$18:F$46)</f>
        <v>0</v>
      </c>
      <c r="I30" s="28">
        <f>SUMIF(Transactions!$C$18:$C$46,'Percentage Calc'!$E30,Transactions!G$18:G$46)</f>
        <v>0</v>
      </c>
      <c r="J30" s="28">
        <f t="shared" si="0"/>
        <v>0</v>
      </c>
      <c r="K30" s="28">
        <f t="shared" si="1"/>
        <v>0</v>
      </c>
      <c r="L30" s="32"/>
      <c r="M30" s="28">
        <f>SUMIF(Transactions!$K$19:$K$46,'Percentage Calc'!$E30,Transactions!L$19:L$46)</f>
        <v>0</v>
      </c>
      <c r="N30" s="28">
        <f>SUMIF(Transactions!$K$19:$K$46,'Percentage Calc'!$E30,Transactions!M$19:M$46)</f>
        <v>0</v>
      </c>
      <c r="O30" s="28">
        <f>SUMIF(Transactions!$K$19:$K$46,'Percentage Calc'!$E30,Transactions!N$19:N$46)</f>
        <v>0</v>
      </c>
      <c r="P30" s="28">
        <f>SUMIF(Transactions!$K$19:$K$46,'Percentage Calc'!$E30,Transactions!O$19:O$46)</f>
        <v>0</v>
      </c>
      <c r="Q30" s="28">
        <f>SUMIF(Transactions!$K$19:$K$46,'Percentage Calc'!$E30,Transactions!P$19:P$46)</f>
        <v>0</v>
      </c>
      <c r="R30" s="28">
        <f t="shared" si="2"/>
        <v>0</v>
      </c>
      <c r="S30" s="28">
        <f t="shared" si="3"/>
        <v>0</v>
      </c>
    </row>
    <row r="31" spans="1:19" x14ac:dyDescent="0.35">
      <c r="A31" s="9"/>
      <c r="B31" s="32"/>
      <c r="C31" s="28">
        <f>IF(Check!$B$87=1,1,IF(R31&lt;1,0,1))</f>
        <v>1</v>
      </c>
      <c r="D31" s="28">
        <f t="shared" si="4"/>
        <v>1</v>
      </c>
      <c r="E31" s="32">
        <v>45855</v>
      </c>
      <c r="F31" s="28">
        <f>SUMIF(Transactions!$C$18:$C$46,'Percentage Calc'!$E31,Transactions!D$18:D$46)</f>
        <v>0</v>
      </c>
      <c r="G31" s="28">
        <f>SUMIF(Transactions!$C$18:$C$46,'Percentage Calc'!$E31,Transactions!E$18:E$46)</f>
        <v>0</v>
      </c>
      <c r="H31" s="28">
        <f>SUMIF(Transactions!$C$18:$C$46,'Percentage Calc'!$E31,Transactions!F$18:F$46)</f>
        <v>0</v>
      </c>
      <c r="I31" s="28">
        <f>SUMIF(Transactions!$C$18:$C$46,'Percentage Calc'!$E31,Transactions!G$18:G$46)</f>
        <v>0</v>
      </c>
      <c r="J31" s="28">
        <f t="shared" si="0"/>
        <v>0</v>
      </c>
      <c r="K31" s="28">
        <f t="shared" si="1"/>
        <v>0</v>
      </c>
      <c r="L31" s="32"/>
      <c r="M31" s="28">
        <f>SUMIF(Transactions!$K$19:$K$46,'Percentage Calc'!$E31,Transactions!L$19:L$46)</f>
        <v>0</v>
      </c>
      <c r="N31" s="28">
        <f>SUMIF(Transactions!$K$19:$K$46,'Percentage Calc'!$E31,Transactions!M$19:M$46)</f>
        <v>0</v>
      </c>
      <c r="O31" s="28">
        <f>SUMIF(Transactions!$K$19:$K$46,'Percentage Calc'!$E31,Transactions!N$19:N$46)</f>
        <v>0</v>
      </c>
      <c r="P31" s="28">
        <f>SUMIF(Transactions!$K$19:$K$46,'Percentage Calc'!$E31,Transactions!O$19:O$46)</f>
        <v>0</v>
      </c>
      <c r="Q31" s="28">
        <f>SUMIF(Transactions!$K$19:$K$46,'Percentage Calc'!$E31,Transactions!P$19:P$46)</f>
        <v>0</v>
      </c>
      <c r="R31" s="28">
        <f t="shared" si="2"/>
        <v>0</v>
      </c>
      <c r="S31" s="28">
        <f t="shared" si="3"/>
        <v>0</v>
      </c>
    </row>
    <row r="32" spans="1:19" x14ac:dyDescent="0.35">
      <c r="A32" s="9"/>
      <c r="B32" s="32"/>
      <c r="C32" s="28">
        <f>IF(Check!$B$87=1,1,IF(R32&lt;1,0,1))</f>
        <v>1</v>
      </c>
      <c r="D32" s="28">
        <f t="shared" si="4"/>
        <v>1</v>
      </c>
      <c r="E32" s="32">
        <v>45856</v>
      </c>
      <c r="F32" s="28">
        <f>SUMIF(Transactions!$C$18:$C$46,'Percentage Calc'!$E32,Transactions!D$18:D$46)</f>
        <v>0</v>
      </c>
      <c r="G32" s="28">
        <f>SUMIF(Transactions!$C$18:$C$46,'Percentage Calc'!$E32,Transactions!E$18:E$46)</f>
        <v>0</v>
      </c>
      <c r="H32" s="28">
        <f>SUMIF(Transactions!$C$18:$C$46,'Percentage Calc'!$E32,Transactions!F$18:F$46)</f>
        <v>0</v>
      </c>
      <c r="I32" s="28">
        <f>SUMIF(Transactions!$C$18:$C$46,'Percentage Calc'!$E32,Transactions!G$18:G$46)</f>
        <v>0</v>
      </c>
      <c r="J32" s="28">
        <f t="shared" si="0"/>
        <v>0</v>
      </c>
      <c r="K32" s="28">
        <f t="shared" si="1"/>
        <v>0</v>
      </c>
      <c r="L32" s="32"/>
      <c r="M32" s="28">
        <f>SUMIF(Transactions!$K$19:$K$46,'Percentage Calc'!$E32,Transactions!L$19:L$46)</f>
        <v>0</v>
      </c>
      <c r="N32" s="28">
        <f>SUMIF(Transactions!$K$19:$K$46,'Percentage Calc'!$E32,Transactions!M$19:M$46)</f>
        <v>0</v>
      </c>
      <c r="O32" s="28">
        <f>SUMIF(Transactions!$K$19:$K$46,'Percentage Calc'!$E32,Transactions!N$19:N$46)</f>
        <v>0</v>
      </c>
      <c r="P32" s="28">
        <f>SUMIF(Transactions!$K$19:$K$46,'Percentage Calc'!$E32,Transactions!O$19:O$46)</f>
        <v>0</v>
      </c>
      <c r="Q32" s="28">
        <f>SUMIF(Transactions!$K$19:$K$46,'Percentage Calc'!$E32,Transactions!P$19:P$46)</f>
        <v>0</v>
      </c>
      <c r="R32" s="28">
        <f t="shared" si="2"/>
        <v>0</v>
      </c>
      <c r="S32" s="28">
        <f t="shared" si="3"/>
        <v>0</v>
      </c>
    </row>
    <row r="33" spans="1:19" x14ac:dyDescent="0.35">
      <c r="A33" s="9"/>
      <c r="B33" s="32"/>
      <c r="C33" s="28">
        <f>IF(Check!$B$87=1,1,IF(R33&lt;1,0,1))</f>
        <v>1</v>
      </c>
      <c r="D33" s="28">
        <f t="shared" si="4"/>
        <v>1</v>
      </c>
      <c r="E33" s="32">
        <v>45857</v>
      </c>
      <c r="F33" s="28">
        <f>SUMIF(Transactions!$C$18:$C$46,'Percentage Calc'!$E33,Transactions!D$18:D$46)</f>
        <v>0</v>
      </c>
      <c r="G33" s="28">
        <f>SUMIF(Transactions!$C$18:$C$46,'Percentage Calc'!$E33,Transactions!E$18:E$46)</f>
        <v>0</v>
      </c>
      <c r="H33" s="28">
        <f>SUMIF(Transactions!$C$18:$C$46,'Percentage Calc'!$E33,Transactions!F$18:F$46)</f>
        <v>0</v>
      </c>
      <c r="I33" s="28">
        <f>SUMIF(Transactions!$C$18:$C$46,'Percentage Calc'!$E33,Transactions!G$18:G$46)</f>
        <v>0</v>
      </c>
      <c r="J33" s="28">
        <f t="shared" si="0"/>
        <v>0</v>
      </c>
      <c r="K33" s="28">
        <f t="shared" si="1"/>
        <v>0</v>
      </c>
      <c r="L33" s="32"/>
      <c r="M33" s="28">
        <f>SUMIF(Transactions!$K$19:$K$46,'Percentage Calc'!$E33,Transactions!L$19:L$46)</f>
        <v>0</v>
      </c>
      <c r="N33" s="28">
        <f>SUMIF(Transactions!$K$19:$K$46,'Percentage Calc'!$E33,Transactions!M$19:M$46)</f>
        <v>0</v>
      </c>
      <c r="O33" s="28">
        <f>SUMIF(Transactions!$K$19:$K$46,'Percentage Calc'!$E33,Transactions!N$19:N$46)</f>
        <v>0</v>
      </c>
      <c r="P33" s="28">
        <f>SUMIF(Transactions!$K$19:$K$46,'Percentage Calc'!$E33,Transactions!O$19:O$46)</f>
        <v>0</v>
      </c>
      <c r="Q33" s="28">
        <f>SUMIF(Transactions!$K$19:$K$46,'Percentage Calc'!$E33,Transactions!P$19:P$46)</f>
        <v>0</v>
      </c>
      <c r="R33" s="28">
        <f t="shared" si="2"/>
        <v>0</v>
      </c>
      <c r="S33" s="28">
        <f t="shared" si="3"/>
        <v>0</v>
      </c>
    </row>
    <row r="34" spans="1:19" x14ac:dyDescent="0.35">
      <c r="A34" s="9"/>
      <c r="B34" s="32"/>
      <c r="C34" s="28">
        <f>IF(Check!$B$87=1,1,IF(R34&lt;1,0,1))</f>
        <v>1</v>
      </c>
      <c r="D34" s="28">
        <f t="shared" si="4"/>
        <v>1</v>
      </c>
      <c r="E34" s="32">
        <v>45858</v>
      </c>
      <c r="F34" s="28">
        <f>SUMIF(Transactions!$C$18:$C$46,'Percentage Calc'!$E34,Transactions!D$18:D$46)</f>
        <v>0</v>
      </c>
      <c r="G34" s="28">
        <f>SUMIF(Transactions!$C$18:$C$46,'Percentage Calc'!$E34,Transactions!E$18:E$46)</f>
        <v>0</v>
      </c>
      <c r="H34" s="28">
        <f>SUMIF(Transactions!$C$18:$C$46,'Percentage Calc'!$E34,Transactions!F$18:F$46)</f>
        <v>0</v>
      </c>
      <c r="I34" s="28">
        <f>SUMIF(Transactions!$C$18:$C$46,'Percentage Calc'!$E34,Transactions!G$18:G$46)</f>
        <v>0</v>
      </c>
      <c r="J34" s="28">
        <f t="shared" si="0"/>
        <v>0</v>
      </c>
      <c r="K34" s="28">
        <f t="shared" si="1"/>
        <v>0</v>
      </c>
      <c r="L34" s="32"/>
      <c r="M34" s="28">
        <f>SUMIF(Transactions!$K$19:$K$46,'Percentage Calc'!$E34,Transactions!L$19:L$46)</f>
        <v>0</v>
      </c>
      <c r="N34" s="28">
        <f>SUMIF(Transactions!$K$19:$K$46,'Percentage Calc'!$E34,Transactions!M$19:M$46)</f>
        <v>0</v>
      </c>
      <c r="O34" s="28">
        <f>SUMIF(Transactions!$K$19:$K$46,'Percentage Calc'!$E34,Transactions!N$19:N$46)</f>
        <v>0</v>
      </c>
      <c r="P34" s="28">
        <f>SUMIF(Transactions!$K$19:$K$46,'Percentage Calc'!$E34,Transactions!O$19:O$46)</f>
        <v>0</v>
      </c>
      <c r="Q34" s="28">
        <f>SUMIF(Transactions!$K$19:$K$46,'Percentage Calc'!$E34,Transactions!P$19:P$46)</f>
        <v>0</v>
      </c>
      <c r="R34" s="28">
        <f t="shared" si="2"/>
        <v>0</v>
      </c>
      <c r="S34" s="28">
        <f t="shared" si="3"/>
        <v>0</v>
      </c>
    </row>
    <row r="35" spans="1:19" x14ac:dyDescent="0.35">
      <c r="A35" s="9"/>
      <c r="B35" s="32"/>
      <c r="C35" s="28">
        <f>IF(Check!$B$87=1,1,IF(R35&lt;1,0,1))</f>
        <v>1</v>
      </c>
      <c r="D35" s="28">
        <f t="shared" si="4"/>
        <v>1</v>
      </c>
      <c r="E35" s="32">
        <v>45859</v>
      </c>
      <c r="F35" s="28">
        <f>SUMIF(Transactions!$C$18:$C$46,'Percentage Calc'!$E35,Transactions!D$18:D$46)</f>
        <v>0</v>
      </c>
      <c r="G35" s="28">
        <f>SUMIF(Transactions!$C$18:$C$46,'Percentage Calc'!$E35,Transactions!E$18:E$46)</f>
        <v>0</v>
      </c>
      <c r="H35" s="28">
        <f>SUMIF(Transactions!$C$18:$C$46,'Percentage Calc'!$E35,Transactions!F$18:F$46)</f>
        <v>0</v>
      </c>
      <c r="I35" s="28">
        <f>SUMIF(Transactions!$C$18:$C$46,'Percentage Calc'!$E35,Transactions!G$18:G$46)</f>
        <v>0</v>
      </c>
      <c r="J35" s="28">
        <f t="shared" si="0"/>
        <v>0</v>
      </c>
      <c r="K35" s="28">
        <f t="shared" si="1"/>
        <v>0</v>
      </c>
      <c r="L35" s="32"/>
      <c r="M35" s="28">
        <f>SUMIF(Transactions!$K$19:$K$46,'Percentage Calc'!$E35,Transactions!L$19:L$46)</f>
        <v>0</v>
      </c>
      <c r="N35" s="28">
        <f>SUMIF(Transactions!$K$19:$K$46,'Percentage Calc'!$E35,Transactions!M$19:M$46)</f>
        <v>0</v>
      </c>
      <c r="O35" s="28">
        <f>SUMIF(Transactions!$K$19:$K$46,'Percentage Calc'!$E35,Transactions!N$19:N$46)</f>
        <v>0</v>
      </c>
      <c r="P35" s="28">
        <f>SUMIF(Transactions!$K$19:$K$46,'Percentage Calc'!$E35,Transactions!O$19:O$46)</f>
        <v>0</v>
      </c>
      <c r="Q35" s="28">
        <f>SUMIF(Transactions!$K$19:$K$46,'Percentage Calc'!$E35,Transactions!P$19:P$46)</f>
        <v>0</v>
      </c>
      <c r="R35" s="28">
        <f t="shared" si="2"/>
        <v>0</v>
      </c>
      <c r="S35" s="28">
        <f t="shared" si="3"/>
        <v>0</v>
      </c>
    </row>
    <row r="36" spans="1:19" x14ac:dyDescent="0.35">
      <c r="A36" s="9"/>
      <c r="B36" s="32"/>
      <c r="C36" s="28">
        <f>IF(Check!$B$87=1,1,IF(R36&lt;1,0,1))</f>
        <v>1</v>
      </c>
      <c r="D36" s="28">
        <f t="shared" si="4"/>
        <v>1</v>
      </c>
      <c r="E36" s="32">
        <v>45860</v>
      </c>
      <c r="F36" s="28">
        <f>SUMIF(Transactions!$C$18:$C$46,'Percentage Calc'!$E36,Transactions!D$18:D$46)</f>
        <v>0</v>
      </c>
      <c r="G36" s="28">
        <f>SUMIF(Transactions!$C$18:$C$46,'Percentage Calc'!$E36,Transactions!E$18:E$46)</f>
        <v>0</v>
      </c>
      <c r="H36" s="28">
        <f>SUMIF(Transactions!$C$18:$C$46,'Percentage Calc'!$E36,Transactions!F$18:F$46)</f>
        <v>0</v>
      </c>
      <c r="I36" s="28">
        <f>SUMIF(Transactions!$C$18:$C$46,'Percentage Calc'!$E36,Transactions!G$18:G$46)</f>
        <v>0</v>
      </c>
      <c r="J36" s="28">
        <f t="shared" si="0"/>
        <v>0</v>
      </c>
      <c r="K36" s="28">
        <f t="shared" si="1"/>
        <v>0</v>
      </c>
      <c r="L36" s="32"/>
      <c r="M36" s="28">
        <f>SUMIF(Transactions!$K$19:$K$46,'Percentage Calc'!$E36,Transactions!L$19:L$46)</f>
        <v>0</v>
      </c>
      <c r="N36" s="28">
        <f>SUMIF(Transactions!$K$19:$K$46,'Percentage Calc'!$E36,Transactions!M$19:M$46)</f>
        <v>0</v>
      </c>
      <c r="O36" s="28">
        <f>SUMIF(Transactions!$K$19:$K$46,'Percentage Calc'!$E36,Transactions!N$19:N$46)</f>
        <v>0</v>
      </c>
      <c r="P36" s="28">
        <f>SUMIF(Transactions!$K$19:$K$46,'Percentage Calc'!$E36,Transactions!O$19:O$46)</f>
        <v>0</v>
      </c>
      <c r="Q36" s="28">
        <f>SUMIF(Transactions!$K$19:$K$46,'Percentage Calc'!$E36,Transactions!P$19:P$46)</f>
        <v>0</v>
      </c>
      <c r="R36" s="28">
        <f t="shared" si="2"/>
        <v>0</v>
      </c>
      <c r="S36" s="28">
        <f t="shared" si="3"/>
        <v>0</v>
      </c>
    </row>
    <row r="37" spans="1:19" x14ac:dyDescent="0.35">
      <c r="A37" s="9"/>
      <c r="B37" s="32"/>
      <c r="C37" s="28">
        <f>IF(Check!$B$87=1,1,IF(R37&lt;1,0,1))</f>
        <v>1</v>
      </c>
      <c r="D37" s="28">
        <f t="shared" si="4"/>
        <v>1</v>
      </c>
      <c r="E37" s="32">
        <v>45861</v>
      </c>
      <c r="F37" s="28">
        <f>SUMIF(Transactions!$C$18:$C$46,'Percentage Calc'!$E37,Transactions!D$18:D$46)</f>
        <v>0</v>
      </c>
      <c r="G37" s="28">
        <f>SUMIF(Transactions!$C$18:$C$46,'Percentage Calc'!$E37,Transactions!E$18:E$46)</f>
        <v>0</v>
      </c>
      <c r="H37" s="28">
        <f>SUMIF(Transactions!$C$18:$C$46,'Percentage Calc'!$E37,Transactions!F$18:F$46)</f>
        <v>0</v>
      </c>
      <c r="I37" s="28">
        <f>SUMIF(Transactions!$C$18:$C$46,'Percentage Calc'!$E37,Transactions!G$18:G$46)</f>
        <v>0</v>
      </c>
      <c r="J37" s="28">
        <f t="shared" si="0"/>
        <v>0</v>
      </c>
      <c r="K37" s="28">
        <f t="shared" si="1"/>
        <v>0</v>
      </c>
      <c r="L37" s="32"/>
      <c r="M37" s="28">
        <f>SUMIF(Transactions!$K$19:$K$46,'Percentage Calc'!$E37,Transactions!L$19:L$46)</f>
        <v>0</v>
      </c>
      <c r="N37" s="28">
        <f>SUMIF(Transactions!$K$19:$K$46,'Percentage Calc'!$E37,Transactions!M$19:M$46)</f>
        <v>0</v>
      </c>
      <c r="O37" s="28">
        <f>SUMIF(Transactions!$K$19:$K$46,'Percentage Calc'!$E37,Transactions!N$19:N$46)</f>
        <v>0</v>
      </c>
      <c r="P37" s="28">
        <f>SUMIF(Transactions!$K$19:$K$46,'Percentage Calc'!$E37,Transactions!O$19:O$46)</f>
        <v>0</v>
      </c>
      <c r="Q37" s="28">
        <f>SUMIF(Transactions!$K$19:$K$46,'Percentage Calc'!$E37,Transactions!P$19:P$46)</f>
        <v>0</v>
      </c>
      <c r="R37" s="28">
        <f t="shared" si="2"/>
        <v>0</v>
      </c>
      <c r="S37" s="28">
        <f t="shared" si="3"/>
        <v>0</v>
      </c>
    </row>
    <row r="38" spans="1:19" x14ac:dyDescent="0.35">
      <c r="A38" s="9"/>
      <c r="B38" s="32"/>
      <c r="C38" s="28">
        <f>IF(Check!$B$87=1,1,IF(R38&lt;1,0,1))</f>
        <v>1</v>
      </c>
      <c r="D38" s="28">
        <f t="shared" si="4"/>
        <v>1</v>
      </c>
      <c r="E38" s="32">
        <v>45862</v>
      </c>
      <c r="F38" s="28">
        <f>SUMIF(Transactions!$C$18:$C$46,'Percentage Calc'!$E38,Transactions!D$18:D$46)</f>
        <v>0</v>
      </c>
      <c r="G38" s="28">
        <f>SUMIF(Transactions!$C$18:$C$46,'Percentage Calc'!$E38,Transactions!E$18:E$46)</f>
        <v>0</v>
      </c>
      <c r="H38" s="28">
        <f>SUMIF(Transactions!$C$18:$C$46,'Percentage Calc'!$E38,Transactions!F$18:F$46)</f>
        <v>0</v>
      </c>
      <c r="I38" s="28">
        <f>SUMIF(Transactions!$C$18:$C$46,'Percentage Calc'!$E38,Transactions!G$18:G$46)</f>
        <v>0</v>
      </c>
      <c r="J38" s="28">
        <f t="shared" si="0"/>
        <v>0</v>
      </c>
      <c r="K38" s="28">
        <f t="shared" si="1"/>
        <v>0</v>
      </c>
      <c r="L38" s="32"/>
      <c r="M38" s="28">
        <f>SUMIF(Transactions!$K$19:$K$46,'Percentage Calc'!$E38,Transactions!L$19:L$46)</f>
        <v>0</v>
      </c>
      <c r="N38" s="28">
        <f>SUMIF(Transactions!$K$19:$K$46,'Percentage Calc'!$E38,Transactions!M$19:M$46)</f>
        <v>0</v>
      </c>
      <c r="O38" s="28">
        <f>SUMIF(Transactions!$K$19:$K$46,'Percentage Calc'!$E38,Transactions!N$19:N$46)</f>
        <v>0</v>
      </c>
      <c r="P38" s="28">
        <f>SUMIF(Transactions!$K$19:$K$46,'Percentage Calc'!$E38,Transactions!O$19:O$46)</f>
        <v>0</v>
      </c>
      <c r="Q38" s="28">
        <f>SUMIF(Transactions!$K$19:$K$46,'Percentage Calc'!$E38,Transactions!P$19:P$46)</f>
        <v>0</v>
      </c>
      <c r="R38" s="28">
        <f t="shared" si="2"/>
        <v>0</v>
      </c>
      <c r="S38" s="28">
        <f t="shared" si="3"/>
        <v>0</v>
      </c>
    </row>
    <row r="39" spans="1:19" x14ac:dyDescent="0.35">
      <c r="A39" s="9"/>
      <c r="B39" s="32"/>
      <c r="C39" s="28">
        <f>IF(Check!$B$87=1,1,IF(R39&lt;1,0,1))</f>
        <v>1</v>
      </c>
      <c r="D39" s="28">
        <f t="shared" si="4"/>
        <v>1</v>
      </c>
      <c r="E39" s="32">
        <v>45863</v>
      </c>
      <c r="F39" s="28">
        <f>SUMIF(Transactions!$C$18:$C$46,'Percentage Calc'!$E39,Transactions!D$18:D$46)</f>
        <v>0</v>
      </c>
      <c r="G39" s="28">
        <f>SUMIF(Transactions!$C$18:$C$46,'Percentage Calc'!$E39,Transactions!E$18:E$46)</f>
        <v>0</v>
      </c>
      <c r="H39" s="28">
        <f>SUMIF(Transactions!$C$18:$C$46,'Percentage Calc'!$E39,Transactions!F$18:F$46)</f>
        <v>0</v>
      </c>
      <c r="I39" s="28">
        <f>SUMIF(Transactions!$C$18:$C$46,'Percentage Calc'!$E39,Transactions!G$18:G$46)</f>
        <v>0</v>
      </c>
      <c r="J39" s="28">
        <f t="shared" si="0"/>
        <v>0</v>
      </c>
      <c r="K39" s="28">
        <f t="shared" si="1"/>
        <v>0</v>
      </c>
      <c r="L39" s="32"/>
      <c r="M39" s="28">
        <f>SUMIF(Transactions!$K$19:$K$46,'Percentage Calc'!$E39,Transactions!L$19:L$46)</f>
        <v>0</v>
      </c>
      <c r="N39" s="28">
        <f>SUMIF(Transactions!$K$19:$K$46,'Percentage Calc'!$E39,Transactions!M$19:M$46)</f>
        <v>0</v>
      </c>
      <c r="O39" s="28">
        <f>SUMIF(Transactions!$K$19:$K$46,'Percentage Calc'!$E39,Transactions!N$19:N$46)</f>
        <v>0</v>
      </c>
      <c r="P39" s="28">
        <f>SUMIF(Transactions!$K$19:$K$46,'Percentage Calc'!$E39,Transactions!O$19:O$46)</f>
        <v>0</v>
      </c>
      <c r="Q39" s="28">
        <f>SUMIF(Transactions!$K$19:$K$46,'Percentage Calc'!$E39,Transactions!P$19:P$46)</f>
        <v>0</v>
      </c>
      <c r="R39" s="28">
        <f t="shared" si="2"/>
        <v>0</v>
      </c>
      <c r="S39" s="28">
        <f t="shared" si="3"/>
        <v>0</v>
      </c>
    </row>
    <row r="40" spans="1:19" x14ac:dyDescent="0.35">
      <c r="A40" s="9"/>
      <c r="B40" s="32"/>
      <c r="C40" s="28">
        <f>IF(Check!$B$87=1,1,IF(R40&lt;1,0,1))</f>
        <v>1</v>
      </c>
      <c r="D40" s="28">
        <f t="shared" si="4"/>
        <v>1</v>
      </c>
      <c r="E40" s="32">
        <v>45864</v>
      </c>
      <c r="F40" s="28">
        <f>SUMIF(Transactions!$C$18:$C$46,'Percentage Calc'!$E40,Transactions!D$18:D$46)</f>
        <v>0</v>
      </c>
      <c r="G40" s="28">
        <f>SUMIF(Transactions!$C$18:$C$46,'Percentage Calc'!$E40,Transactions!E$18:E$46)</f>
        <v>0</v>
      </c>
      <c r="H40" s="28">
        <f>SUMIF(Transactions!$C$18:$C$46,'Percentage Calc'!$E40,Transactions!F$18:F$46)</f>
        <v>0</v>
      </c>
      <c r="I40" s="28">
        <f>SUMIF(Transactions!$C$18:$C$46,'Percentage Calc'!$E40,Transactions!G$18:G$46)</f>
        <v>0</v>
      </c>
      <c r="J40" s="28">
        <f t="shared" si="0"/>
        <v>0</v>
      </c>
      <c r="K40" s="28">
        <f t="shared" si="1"/>
        <v>0</v>
      </c>
      <c r="L40" s="32"/>
      <c r="M40" s="28">
        <f>SUMIF(Transactions!$K$19:$K$46,'Percentage Calc'!$E40,Transactions!L$19:L$46)</f>
        <v>0</v>
      </c>
      <c r="N40" s="28">
        <f>SUMIF(Transactions!$K$19:$K$46,'Percentage Calc'!$E40,Transactions!M$19:M$46)</f>
        <v>0</v>
      </c>
      <c r="O40" s="28">
        <f>SUMIF(Transactions!$K$19:$K$46,'Percentage Calc'!$E40,Transactions!N$19:N$46)</f>
        <v>0</v>
      </c>
      <c r="P40" s="28">
        <f>SUMIF(Transactions!$K$19:$K$46,'Percentage Calc'!$E40,Transactions!O$19:O$46)</f>
        <v>0</v>
      </c>
      <c r="Q40" s="28">
        <f>SUMIF(Transactions!$K$19:$K$46,'Percentage Calc'!$E40,Transactions!P$19:P$46)</f>
        <v>0</v>
      </c>
      <c r="R40" s="28">
        <f t="shared" si="2"/>
        <v>0</v>
      </c>
      <c r="S40" s="28">
        <f t="shared" si="3"/>
        <v>0</v>
      </c>
    </row>
    <row r="41" spans="1:19" x14ac:dyDescent="0.35">
      <c r="A41" s="9"/>
      <c r="B41" s="32"/>
      <c r="C41" s="28">
        <f>IF(Check!$B$87=1,1,IF(R41&lt;1,0,1))</f>
        <v>1</v>
      </c>
      <c r="D41" s="28">
        <f t="shared" si="4"/>
        <v>1</v>
      </c>
      <c r="E41" s="32">
        <v>45865</v>
      </c>
      <c r="F41" s="28">
        <f>SUMIF(Transactions!$C$18:$C$46,'Percentage Calc'!$E41,Transactions!D$18:D$46)</f>
        <v>0</v>
      </c>
      <c r="G41" s="28">
        <f>SUMIF(Transactions!$C$18:$C$46,'Percentage Calc'!$E41,Transactions!E$18:E$46)</f>
        <v>0</v>
      </c>
      <c r="H41" s="28">
        <f>SUMIF(Transactions!$C$18:$C$46,'Percentage Calc'!$E41,Transactions!F$18:F$46)</f>
        <v>0</v>
      </c>
      <c r="I41" s="28">
        <f>SUMIF(Transactions!$C$18:$C$46,'Percentage Calc'!$E41,Transactions!G$18:G$46)</f>
        <v>0</v>
      </c>
      <c r="J41" s="28">
        <f t="shared" si="0"/>
        <v>0</v>
      </c>
      <c r="K41" s="28">
        <f t="shared" si="1"/>
        <v>0</v>
      </c>
      <c r="L41" s="32"/>
      <c r="M41" s="28">
        <f>SUMIF(Transactions!$K$19:$K$46,'Percentage Calc'!$E41,Transactions!L$19:L$46)</f>
        <v>0</v>
      </c>
      <c r="N41" s="28">
        <f>SUMIF(Transactions!$K$19:$K$46,'Percentage Calc'!$E41,Transactions!M$19:M$46)</f>
        <v>0</v>
      </c>
      <c r="O41" s="28">
        <f>SUMIF(Transactions!$K$19:$K$46,'Percentage Calc'!$E41,Transactions!N$19:N$46)</f>
        <v>0</v>
      </c>
      <c r="P41" s="28">
        <f>SUMIF(Transactions!$K$19:$K$46,'Percentage Calc'!$E41,Transactions!O$19:O$46)</f>
        <v>0</v>
      </c>
      <c r="Q41" s="28">
        <f>SUMIF(Transactions!$K$19:$K$46,'Percentage Calc'!$E41,Transactions!P$19:P$46)</f>
        <v>0</v>
      </c>
      <c r="R41" s="28">
        <f t="shared" si="2"/>
        <v>0</v>
      </c>
      <c r="S41" s="28">
        <f t="shared" si="3"/>
        <v>0</v>
      </c>
    </row>
    <row r="42" spans="1:19" x14ac:dyDescent="0.35">
      <c r="A42" s="9"/>
      <c r="B42" s="32"/>
      <c r="C42" s="28">
        <f>IF(Check!$B$87=1,1,IF(R42&lt;1,0,1))</f>
        <v>1</v>
      </c>
      <c r="D42" s="28">
        <f t="shared" si="4"/>
        <v>1</v>
      </c>
      <c r="E42" s="32">
        <v>45866</v>
      </c>
      <c r="F42" s="28">
        <f>SUMIF(Transactions!$C$18:$C$46,'Percentage Calc'!$E42,Transactions!D$18:D$46)</f>
        <v>0</v>
      </c>
      <c r="G42" s="28">
        <f>SUMIF(Transactions!$C$18:$C$46,'Percentage Calc'!$E42,Transactions!E$18:E$46)</f>
        <v>0</v>
      </c>
      <c r="H42" s="28">
        <f>SUMIF(Transactions!$C$18:$C$46,'Percentage Calc'!$E42,Transactions!F$18:F$46)</f>
        <v>0</v>
      </c>
      <c r="I42" s="28">
        <f>SUMIF(Transactions!$C$18:$C$46,'Percentage Calc'!$E42,Transactions!G$18:G$46)</f>
        <v>0</v>
      </c>
      <c r="J42" s="28">
        <f t="shared" si="0"/>
        <v>0</v>
      </c>
      <c r="K42" s="28">
        <f t="shared" si="1"/>
        <v>0</v>
      </c>
      <c r="L42" s="32"/>
      <c r="M42" s="28">
        <f>SUMIF(Transactions!$K$19:$K$46,'Percentage Calc'!$E42,Transactions!L$19:L$46)</f>
        <v>0</v>
      </c>
      <c r="N42" s="28">
        <f>SUMIF(Transactions!$K$19:$K$46,'Percentage Calc'!$E42,Transactions!M$19:M$46)</f>
        <v>0</v>
      </c>
      <c r="O42" s="28">
        <f>SUMIF(Transactions!$K$19:$K$46,'Percentage Calc'!$E42,Transactions!N$19:N$46)</f>
        <v>0</v>
      </c>
      <c r="P42" s="28">
        <f>SUMIF(Transactions!$K$19:$K$46,'Percentage Calc'!$E42,Transactions!O$19:O$46)</f>
        <v>0</v>
      </c>
      <c r="Q42" s="28">
        <f>SUMIF(Transactions!$K$19:$K$46,'Percentage Calc'!$E42,Transactions!P$19:P$46)</f>
        <v>0</v>
      </c>
      <c r="R42" s="28">
        <f t="shared" si="2"/>
        <v>0</v>
      </c>
      <c r="S42" s="28">
        <f t="shared" si="3"/>
        <v>0</v>
      </c>
    </row>
    <row r="43" spans="1:19" x14ac:dyDescent="0.35">
      <c r="A43" s="9"/>
      <c r="B43" s="32"/>
      <c r="C43" s="28">
        <f>IF(Check!$B$87=1,1,IF(R43&lt;1,0,1))</f>
        <v>1</v>
      </c>
      <c r="D43" s="28">
        <f t="shared" si="4"/>
        <v>1</v>
      </c>
      <c r="E43" s="32">
        <v>45867</v>
      </c>
      <c r="F43" s="28">
        <f>SUMIF(Transactions!$C$18:$C$46,'Percentage Calc'!$E43,Transactions!D$18:D$46)</f>
        <v>0</v>
      </c>
      <c r="G43" s="28">
        <f>SUMIF(Transactions!$C$18:$C$46,'Percentage Calc'!$E43,Transactions!E$18:E$46)</f>
        <v>0</v>
      </c>
      <c r="H43" s="28">
        <f>SUMIF(Transactions!$C$18:$C$46,'Percentage Calc'!$E43,Transactions!F$18:F$46)</f>
        <v>0</v>
      </c>
      <c r="I43" s="28">
        <f>SUMIF(Transactions!$C$18:$C$46,'Percentage Calc'!$E43,Transactions!G$18:G$46)</f>
        <v>0</v>
      </c>
      <c r="J43" s="28">
        <f t="shared" si="0"/>
        <v>0</v>
      </c>
      <c r="K43" s="28">
        <f t="shared" si="1"/>
        <v>0</v>
      </c>
      <c r="L43" s="32"/>
      <c r="M43" s="28">
        <f>SUMIF(Transactions!$K$19:$K$46,'Percentage Calc'!$E43,Transactions!L$19:L$46)</f>
        <v>0</v>
      </c>
      <c r="N43" s="28">
        <f>SUMIF(Transactions!$K$19:$K$46,'Percentage Calc'!$E43,Transactions!M$19:M$46)</f>
        <v>0</v>
      </c>
      <c r="O43" s="28">
        <f>SUMIF(Transactions!$K$19:$K$46,'Percentage Calc'!$E43,Transactions!N$19:N$46)</f>
        <v>0</v>
      </c>
      <c r="P43" s="28">
        <f>SUMIF(Transactions!$K$19:$K$46,'Percentage Calc'!$E43,Transactions!O$19:O$46)</f>
        <v>0</v>
      </c>
      <c r="Q43" s="28">
        <f>SUMIF(Transactions!$K$19:$K$46,'Percentage Calc'!$E43,Transactions!P$19:P$46)</f>
        <v>0</v>
      </c>
      <c r="R43" s="28">
        <f t="shared" si="2"/>
        <v>0</v>
      </c>
      <c r="S43" s="28">
        <f t="shared" si="3"/>
        <v>0</v>
      </c>
    </row>
    <row r="44" spans="1:19" x14ac:dyDescent="0.35">
      <c r="A44" s="9"/>
      <c r="B44" s="32"/>
      <c r="C44" s="28">
        <f>IF(Check!$B$87=1,1,IF(R44&lt;1,0,1))</f>
        <v>1</v>
      </c>
      <c r="D44" s="28">
        <f t="shared" si="4"/>
        <v>1</v>
      </c>
      <c r="E44" s="32">
        <v>45868</v>
      </c>
      <c r="F44" s="28">
        <f>SUMIF(Transactions!$C$18:$C$46,'Percentage Calc'!$E44,Transactions!D$18:D$46)</f>
        <v>0</v>
      </c>
      <c r="G44" s="28">
        <f>SUMIF(Transactions!$C$18:$C$46,'Percentage Calc'!$E44,Transactions!E$18:E$46)</f>
        <v>0</v>
      </c>
      <c r="H44" s="28">
        <f>SUMIF(Transactions!$C$18:$C$46,'Percentage Calc'!$E44,Transactions!F$18:F$46)</f>
        <v>0</v>
      </c>
      <c r="I44" s="28">
        <f>SUMIF(Transactions!$C$18:$C$46,'Percentage Calc'!$E44,Transactions!G$18:G$46)</f>
        <v>0</v>
      </c>
      <c r="J44" s="28">
        <f t="shared" si="0"/>
        <v>0</v>
      </c>
      <c r="K44" s="28">
        <f t="shared" si="1"/>
        <v>0</v>
      </c>
      <c r="L44" s="32"/>
      <c r="M44" s="28">
        <f>SUMIF(Transactions!$K$19:$K$46,'Percentage Calc'!$E44,Transactions!L$19:L$46)</f>
        <v>0</v>
      </c>
      <c r="N44" s="28">
        <f>SUMIF(Transactions!$K$19:$K$46,'Percentage Calc'!$E44,Transactions!M$19:M$46)</f>
        <v>0</v>
      </c>
      <c r="O44" s="28">
        <f>SUMIF(Transactions!$K$19:$K$46,'Percentage Calc'!$E44,Transactions!N$19:N$46)</f>
        <v>0</v>
      </c>
      <c r="P44" s="28">
        <f>SUMIF(Transactions!$K$19:$K$46,'Percentage Calc'!$E44,Transactions!O$19:O$46)</f>
        <v>0</v>
      </c>
      <c r="Q44" s="28">
        <f>SUMIF(Transactions!$K$19:$K$46,'Percentage Calc'!$E44,Transactions!P$19:P$46)</f>
        <v>0</v>
      </c>
      <c r="R44" s="28">
        <f t="shared" si="2"/>
        <v>0</v>
      </c>
      <c r="S44" s="28">
        <f t="shared" si="3"/>
        <v>0</v>
      </c>
    </row>
    <row r="45" spans="1:19" x14ac:dyDescent="0.35">
      <c r="A45" s="9"/>
      <c r="B45" s="32"/>
      <c r="C45" s="28">
        <f>IF(Check!$B$87=1,1,IF(R45&lt;1,0,1))</f>
        <v>1</v>
      </c>
      <c r="D45" s="28">
        <f t="shared" si="4"/>
        <v>1</v>
      </c>
      <c r="E45" s="32">
        <v>45869</v>
      </c>
      <c r="F45" s="28">
        <f>SUMIF(Transactions!$C$18:$C$46,'Percentage Calc'!$E45,Transactions!D$18:D$46)</f>
        <v>0</v>
      </c>
      <c r="G45" s="28">
        <f>SUMIF(Transactions!$C$18:$C$46,'Percentage Calc'!$E45,Transactions!E$18:E$46)</f>
        <v>0</v>
      </c>
      <c r="H45" s="28">
        <f>SUMIF(Transactions!$C$18:$C$46,'Percentage Calc'!$E45,Transactions!F$18:F$46)</f>
        <v>0</v>
      </c>
      <c r="I45" s="28">
        <f>SUMIF(Transactions!$C$18:$C$46,'Percentage Calc'!$E45,Transactions!G$18:G$46)</f>
        <v>0</v>
      </c>
      <c r="J45" s="28">
        <f t="shared" si="0"/>
        <v>0</v>
      </c>
      <c r="K45" s="28">
        <f t="shared" si="1"/>
        <v>0</v>
      </c>
      <c r="L45" s="32"/>
      <c r="M45" s="28">
        <f>SUMIF(Transactions!$K$19:$K$46,'Percentage Calc'!$E45,Transactions!L$19:L$46)</f>
        <v>0</v>
      </c>
      <c r="N45" s="28">
        <f>SUMIF(Transactions!$K$19:$K$46,'Percentage Calc'!$E45,Transactions!M$19:M$46)</f>
        <v>0</v>
      </c>
      <c r="O45" s="28">
        <f>SUMIF(Transactions!$K$19:$K$46,'Percentage Calc'!$E45,Transactions!N$19:N$46)</f>
        <v>0</v>
      </c>
      <c r="P45" s="28">
        <f>SUMIF(Transactions!$K$19:$K$46,'Percentage Calc'!$E45,Transactions!O$19:O$46)</f>
        <v>0</v>
      </c>
      <c r="Q45" s="28">
        <f>SUMIF(Transactions!$K$19:$K$46,'Percentage Calc'!$E45,Transactions!P$19:P$46)</f>
        <v>0</v>
      </c>
      <c r="R45" s="28">
        <f t="shared" si="2"/>
        <v>0</v>
      </c>
      <c r="S45" s="28">
        <f t="shared" si="3"/>
        <v>0</v>
      </c>
    </row>
    <row r="46" spans="1:19" x14ac:dyDescent="0.35">
      <c r="A46" s="9"/>
      <c r="B46" s="32"/>
      <c r="C46" s="28">
        <f>IF(Check!$B$87=1,1,IF(R46&lt;1,0,1))</f>
        <v>1</v>
      </c>
      <c r="D46" s="28">
        <f t="shared" si="4"/>
        <v>1</v>
      </c>
      <c r="E46" s="32">
        <v>45870</v>
      </c>
      <c r="F46" s="28">
        <f>SUMIF(Transactions!$C$18:$C$46,'Percentage Calc'!$E46,Transactions!D$18:D$46)</f>
        <v>0</v>
      </c>
      <c r="G46" s="28">
        <f>SUMIF(Transactions!$C$18:$C$46,'Percentage Calc'!$E46,Transactions!E$18:E$46)</f>
        <v>0</v>
      </c>
      <c r="H46" s="28">
        <f>SUMIF(Transactions!$C$18:$C$46,'Percentage Calc'!$E46,Transactions!F$18:F$46)</f>
        <v>0</v>
      </c>
      <c r="I46" s="28">
        <f>SUMIF(Transactions!$C$18:$C$46,'Percentage Calc'!$E46,Transactions!G$18:G$46)</f>
        <v>0</v>
      </c>
      <c r="J46" s="28">
        <f t="shared" si="0"/>
        <v>0</v>
      </c>
      <c r="K46" s="28">
        <f t="shared" si="1"/>
        <v>0</v>
      </c>
      <c r="L46" s="32"/>
      <c r="M46" s="28">
        <f>SUMIF(Transactions!$K$19:$K$46,'Percentage Calc'!$E46,Transactions!L$19:L$46)</f>
        <v>0</v>
      </c>
      <c r="N46" s="28">
        <f>SUMIF(Transactions!$K$19:$K$46,'Percentage Calc'!$E46,Transactions!M$19:M$46)</f>
        <v>0</v>
      </c>
      <c r="O46" s="28">
        <f>SUMIF(Transactions!$K$19:$K$46,'Percentage Calc'!$E46,Transactions!N$19:N$46)</f>
        <v>0</v>
      </c>
      <c r="P46" s="28">
        <f>SUMIF(Transactions!$K$19:$K$46,'Percentage Calc'!$E46,Transactions!O$19:O$46)</f>
        <v>0</v>
      </c>
      <c r="Q46" s="28">
        <f>SUMIF(Transactions!$K$19:$K$46,'Percentage Calc'!$E46,Transactions!P$19:P$46)</f>
        <v>0</v>
      </c>
      <c r="R46" s="28">
        <f t="shared" si="2"/>
        <v>0</v>
      </c>
      <c r="S46" s="28">
        <f t="shared" si="3"/>
        <v>0</v>
      </c>
    </row>
    <row r="47" spans="1:19" x14ac:dyDescent="0.35">
      <c r="A47" s="9"/>
      <c r="B47" s="32"/>
      <c r="C47" s="28">
        <f>IF(Check!$B$87=1,1,IF(R47&lt;1,0,1))</f>
        <v>1</v>
      </c>
      <c r="D47" s="28">
        <f t="shared" si="4"/>
        <v>1</v>
      </c>
      <c r="E47" s="32">
        <v>45871</v>
      </c>
      <c r="F47" s="28">
        <f>SUMIF(Transactions!$C$18:$C$46,'Percentage Calc'!$E47,Transactions!D$18:D$46)</f>
        <v>0</v>
      </c>
      <c r="G47" s="28">
        <f>SUMIF(Transactions!$C$18:$C$46,'Percentage Calc'!$E47,Transactions!E$18:E$46)</f>
        <v>0</v>
      </c>
      <c r="H47" s="28">
        <f>SUMIF(Transactions!$C$18:$C$46,'Percentage Calc'!$E47,Transactions!F$18:F$46)</f>
        <v>0</v>
      </c>
      <c r="I47" s="28">
        <f>SUMIF(Transactions!$C$18:$C$46,'Percentage Calc'!$E47,Transactions!G$18:G$46)</f>
        <v>0</v>
      </c>
      <c r="J47" s="28">
        <f t="shared" si="0"/>
        <v>0</v>
      </c>
      <c r="K47" s="28">
        <f t="shared" si="1"/>
        <v>0</v>
      </c>
      <c r="L47" s="32"/>
      <c r="M47" s="28">
        <f>SUMIF(Transactions!$K$19:$K$46,'Percentage Calc'!$E47,Transactions!L$19:L$46)</f>
        <v>0</v>
      </c>
      <c r="N47" s="28">
        <f>SUMIF(Transactions!$K$19:$K$46,'Percentage Calc'!$E47,Transactions!M$19:M$46)</f>
        <v>0</v>
      </c>
      <c r="O47" s="28">
        <f>SUMIF(Transactions!$K$19:$K$46,'Percentage Calc'!$E47,Transactions!N$19:N$46)</f>
        <v>0</v>
      </c>
      <c r="P47" s="28">
        <f>SUMIF(Transactions!$K$19:$K$46,'Percentage Calc'!$E47,Transactions!O$19:O$46)</f>
        <v>0</v>
      </c>
      <c r="Q47" s="28">
        <f>SUMIF(Transactions!$K$19:$K$46,'Percentage Calc'!$E47,Transactions!P$19:P$46)</f>
        <v>0</v>
      </c>
      <c r="R47" s="28">
        <f t="shared" si="2"/>
        <v>0</v>
      </c>
      <c r="S47" s="28">
        <f t="shared" si="3"/>
        <v>0</v>
      </c>
    </row>
    <row r="48" spans="1:19" x14ac:dyDescent="0.35">
      <c r="A48" s="9"/>
      <c r="B48" s="32"/>
      <c r="C48" s="28">
        <f>IF(Check!$B$87=1,1,IF(R48&lt;1,0,1))</f>
        <v>1</v>
      </c>
      <c r="D48" s="28">
        <f t="shared" si="4"/>
        <v>1</v>
      </c>
      <c r="E48" s="32">
        <v>45872</v>
      </c>
      <c r="F48" s="28">
        <f>SUMIF(Transactions!$C$18:$C$46,'Percentage Calc'!$E48,Transactions!D$18:D$46)</f>
        <v>0</v>
      </c>
      <c r="G48" s="28">
        <f>SUMIF(Transactions!$C$18:$C$46,'Percentage Calc'!$E48,Transactions!E$18:E$46)</f>
        <v>0</v>
      </c>
      <c r="H48" s="28">
        <f>SUMIF(Transactions!$C$18:$C$46,'Percentage Calc'!$E48,Transactions!F$18:F$46)</f>
        <v>0</v>
      </c>
      <c r="I48" s="28">
        <f>SUMIF(Transactions!$C$18:$C$46,'Percentage Calc'!$E48,Transactions!G$18:G$46)</f>
        <v>0</v>
      </c>
      <c r="J48" s="28">
        <f t="shared" si="0"/>
        <v>0</v>
      </c>
      <c r="K48" s="28">
        <f t="shared" si="1"/>
        <v>0</v>
      </c>
      <c r="L48" s="32"/>
      <c r="M48" s="28">
        <f>SUMIF(Transactions!$K$19:$K$46,'Percentage Calc'!$E48,Transactions!L$19:L$46)</f>
        <v>0</v>
      </c>
      <c r="N48" s="28">
        <f>SUMIF(Transactions!$K$19:$K$46,'Percentage Calc'!$E48,Transactions!M$19:M$46)</f>
        <v>0</v>
      </c>
      <c r="O48" s="28">
        <f>SUMIF(Transactions!$K$19:$K$46,'Percentage Calc'!$E48,Transactions!N$19:N$46)</f>
        <v>0</v>
      </c>
      <c r="P48" s="28">
        <f>SUMIF(Transactions!$K$19:$K$46,'Percentage Calc'!$E48,Transactions!O$19:O$46)</f>
        <v>0</v>
      </c>
      <c r="Q48" s="28">
        <f>SUMIF(Transactions!$K$19:$K$46,'Percentage Calc'!$E48,Transactions!P$19:P$46)</f>
        <v>0</v>
      </c>
      <c r="R48" s="28">
        <f t="shared" si="2"/>
        <v>0</v>
      </c>
      <c r="S48" s="28">
        <f t="shared" si="3"/>
        <v>0</v>
      </c>
    </row>
    <row r="49" spans="1:19" x14ac:dyDescent="0.35">
      <c r="A49" s="9"/>
      <c r="B49" s="32"/>
      <c r="C49" s="28">
        <f>IF(Check!$B$87=1,1,IF(R49&lt;1,0,1))</f>
        <v>1</v>
      </c>
      <c r="D49" s="28">
        <f t="shared" si="4"/>
        <v>1</v>
      </c>
      <c r="E49" s="32">
        <v>45873</v>
      </c>
      <c r="F49" s="28">
        <f>SUMIF(Transactions!$C$18:$C$46,'Percentage Calc'!$E49,Transactions!D$18:D$46)</f>
        <v>0</v>
      </c>
      <c r="G49" s="28">
        <f>SUMIF(Transactions!$C$18:$C$46,'Percentage Calc'!$E49,Transactions!E$18:E$46)</f>
        <v>0</v>
      </c>
      <c r="H49" s="28">
        <f>SUMIF(Transactions!$C$18:$C$46,'Percentage Calc'!$E49,Transactions!F$18:F$46)</f>
        <v>0</v>
      </c>
      <c r="I49" s="28">
        <f>SUMIF(Transactions!$C$18:$C$46,'Percentage Calc'!$E49,Transactions!G$18:G$46)</f>
        <v>0</v>
      </c>
      <c r="J49" s="28">
        <f t="shared" si="0"/>
        <v>0</v>
      </c>
      <c r="K49" s="28">
        <f t="shared" si="1"/>
        <v>0</v>
      </c>
      <c r="L49" s="32"/>
      <c r="M49" s="28">
        <f>SUMIF(Transactions!$K$19:$K$46,'Percentage Calc'!$E49,Transactions!L$19:L$46)</f>
        <v>0</v>
      </c>
      <c r="N49" s="28">
        <f>SUMIF(Transactions!$K$19:$K$46,'Percentage Calc'!$E49,Transactions!M$19:M$46)</f>
        <v>0</v>
      </c>
      <c r="O49" s="28">
        <f>SUMIF(Transactions!$K$19:$K$46,'Percentage Calc'!$E49,Transactions!N$19:N$46)</f>
        <v>0</v>
      </c>
      <c r="P49" s="28">
        <f>SUMIF(Transactions!$K$19:$K$46,'Percentage Calc'!$E49,Transactions!O$19:O$46)</f>
        <v>0</v>
      </c>
      <c r="Q49" s="28">
        <f>SUMIF(Transactions!$K$19:$K$46,'Percentage Calc'!$E49,Transactions!P$19:P$46)</f>
        <v>0</v>
      </c>
      <c r="R49" s="28">
        <f t="shared" si="2"/>
        <v>0</v>
      </c>
      <c r="S49" s="28">
        <f t="shared" si="3"/>
        <v>0</v>
      </c>
    </row>
    <row r="50" spans="1:19" x14ac:dyDescent="0.35">
      <c r="A50" s="9"/>
      <c r="B50" s="32"/>
      <c r="C50" s="28">
        <f>IF(Check!$B$87=1,1,IF(R50&lt;1,0,1))</f>
        <v>1</v>
      </c>
      <c r="D50" s="28">
        <f t="shared" si="4"/>
        <v>1</v>
      </c>
      <c r="E50" s="32">
        <v>45874</v>
      </c>
      <c r="F50" s="28">
        <f>SUMIF(Transactions!$C$18:$C$46,'Percentage Calc'!$E50,Transactions!D$18:D$46)</f>
        <v>0</v>
      </c>
      <c r="G50" s="28">
        <f>SUMIF(Transactions!$C$18:$C$46,'Percentage Calc'!$E50,Transactions!E$18:E$46)</f>
        <v>0</v>
      </c>
      <c r="H50" s="28">
        <f>SUMIF(Transactions!$C$18:$C$46,'Percentage Calc'!$E50,Transactions!F$18:F$46)</f>
        <v>0</v>
      </c>
      <c r="I50" s="28">
        <f>SUMIF(Transactions!$C$18:$C$46,'Percentage Calc'!$E50,Transactions!G$18:G$46)</f>
        <v>0</v>
      </c>
      <c r="J50" s="28">
        <f t="shared" si="0"/>
        <v>0</v>
      </c>
      <c r="K50" s="28">
        <f t="shared" si="1"/>
        <v>0</v>
      </c>
      <c r="L50" s="32"/>
      <c r="M50" s="28">
        <f>SUMIF(Transactions!$K$19:$K$46,'Percentage Calc'!$E50,Transactions!L$19:L$46)</f>
        <v>0</v>
      </c>
      <c r="N50" s="28">
        <f>SUMIF(Transactions!$K$19:$K$46,'Percentage Calc'!$E50,Transactions!M$19:M$46)</f>
        <v>0</v>
      </c>
      <c r="O50" s="28">
        <f>SUMIF(Transactions!$K$19:$K$46,'Percentage Calc'!$E50,Transactions!N$19:N$46)</f>
        <v>0</v>
      </c>
      <c r="P50" s="28">
        <f>SUMIF(Transactions!$K$19:$K$46,'Percentage Calc'!$E50,Transactions!O$19:O$46)</f>
        <v>0</v>
      </c>
      <c r="Q50" s="28">
        <f>SUMIF(Transactions!$K$19:$K$46,'Percentage Calc'!$E50,Transactions!P$19:P$46)</f>
        <v>0</v>
      </c>
      <c r="R50" s="28">
        <f t="shared" si="2"/>
        <v>0</v>
      </c>
      <c r="S50" s="28">
        <f t="shared" si="3"/>
        <v>0</v>
      </c>
    </row>
    <row r="51" spans="1:19" x14ac:dyDescent="0.35">
      <c r="A51" s="9"/>
      <c r="B51" s="32"/>
      <c r="C51" s="28">
        <f>IF(Check!$B$87=1,1,IF(R51&lt;1,0,1))</f>
        <v>1</v>
      </c>
      <c r="D51" s="28">
        <f t="shared" si="4"/>
        <v>1</v>
      </c>
      <c r="E51" s="32">
        <v>45875</v>
      </c>
      <c r="F51" s="28">
        <f>SUMIF(Transactions!$C$18:$C$46,'Percentage Calc'!$E51,Transactions!D$18:D$46)</f>
        <v>0</v>
      </c>
      <c r="G51" s="28">
        <f>SUMIF(Transactions!$C$18:$C$46,'Percentage Calc'!$E51,Transactions!E$18:E$46)</f>
        <v>0</v>
      </c>
      <c r="H51" s="28">
        <f>SUMIF(Transactions!$C$18:$C$46,'Percentage Calc'!$E51,Transactions!F$18:F$46)</f>
        <v>0</v>
      </c>
      <c r="I51" s="28">
        <f>SUMIF(Transactions!$C$18:$C$46,'Percentage Calc'!$E51,Transactions!G$18:G$46)</f>
        <v>0</v>
      </c>
      <c r="J51" s="28">
        <f t="shared" si="0"/>
        <v>0</v>
      </c>
      <c r="K51" s="28">
        <f t="shared" si="1"/>
        <v>0</v>
      </c>
      <c r="L51" s="32"/>
      <c r="M51" s="28">
        <f>SUMIF(Transactions!$K$19:$K$46,'Percentage Calc'!$E51,Transactions!L$19:L$46)</f>
        <v>0</v>
      </c>
      <c r="N51" s="28">
        <f>SUMIF(Transactions!$K$19:$K$46,'Percentage Calc'!$E51,Transactions!M$19:M$46)</f>
        <v>0</v>
      </c>
      <c r="O51" s="28">
        <f>SUMIF(Transactions!$K$19:$K$46,'Percentage Calc'!$E51,Transactions!N$19:N$46)</f>
        <v>0</v>
      </c>
      <c r="P51" s="28">
        <f>SUMIF(Transactions!$K$19:$K$46,'Percentage Calc'!$E51,Transactions!O$19:O$46)</f>
        <v>0</v>
      </c>
      <c r="Q51" s="28">
        <f>SUMIF(Transactions!$K$19:$K$46,'Percentage Calc'!$E51,Transactions!P$19:P$46)</f>
        <v>0</v>
      </c>
      <c r="R51" s="28">
        <f t="shared" si="2"/>
        <v>0</v>
      </c>
      <c r="S51" s="28">
        <f t="shared" si="3"/>
        <v>0</v>
      </c>
    </row>
    <row r="52" spans="1:19" x14ac:dyDescent="0.35">
      <c r="A52" s="9"/>
      <c r="B52" s="32"/>
      <c r="C52" s="28">
        <f>IF(Check!$B$87=1,1,IF(R52&lt;1,0,1))</f>
        <v>1</v>
      </c>
      <c r="D52" s="28">
        <f t="shared" si="4"/>
        <v>1</v>
      </c>
      <c r="E52" s="32">
        <v>45876</v>
      </c>
      <c r="F52" s="28">
        <f>SUMIF(Transactions!$C$18:$C$46,'Percentage Calc'!$E52,Transactions!D$18:D$46)</f>
        <v>0</v>
      </c>
      <c r="G52" s="28">
        <f>SUMIF(Transactions!$C$18:$C$46,'Percentage Calc'!$E52,Transactions!E$18:E$46)</f>
        <v>0</v>
      </c>
      <c r="H52" s="28">
        <f>SUMIF(Transactions!$C$18:$C$46,'Percentage Calc'!$E52,Transactions!F$18:F$46)</f>
        <v>0</v>
      </c>
      <c r="I52" s="28">
        <f>SUMIF(Transactions!$C$18:$C$46,'Percentage Calc'!$E52,Transactions!G$18:G$46)</f>
        <v>0</v>
      </c>
      <c r="J52" s="28">
        <f t="shared" si="0"/>
        <v>0</v>
      </c>
      <c r="K52" s="28">
        <f t="shared" si="1"/>
        <v>0</v>
      </c>
      <c r="L52" s="32"/>
      <c r="M52" s="28">
        <f>SUMIF(Transactions!$K$19:$K$46,'Percentage Calc'!$E52,Transactions!L$19:L$46)</f>
        <v>0</v>
      </c>
      <c r="N52" s="28">
        <f>SUMIF(Transactions!$K$19:$K$46,'Percentage Calc'!$E52,Transactions!M$19:M$46)</f>
        <v>0</v>
      </c>
      <c r="O52" s="28">
        <f>SUMIF(Transactions!$K$19:$K$46,'Percentage Calc'!$E52,Transactions!N$19:N$46)</f>
        <v>0</v>
      </c>
      <c r="P52" s="28">
        <f>SUMIF(Transactions!$K$19:$K$46,'Percentage Calc'!$E52,Transactions!O$19:O$46)</f>
        <v>0</v>
      </c>
      <c r="Q52" s="28">
        <f>SUMIF(Transactions!$K$19:$K$46,'Percentage Calc'!$E52,Transactions!P$19:P$46)</f>
        <v>0</v>
      </c>
      <c r="R52" s="28">
        <f t="shared" si="2"/>
        <v>0</v>
      </c>
      <c r="S52" s="28">
        <f t="shared" si="3"/>
        <v>0</v>
      </c>
    </row>
    <row r="53" spans="1:19" x14ac:dyDescent="0.35">
      <c r="A53" s="9"/>
      <c r="B53" s="32"/>
      <c r="C53" s="28">
        <f>IF(Check!$B$87=1,1,IF(R53&lt;1,0,1))</f>
        <v>1</v>
      </c>
      <c r="D53" s="28">
        <f t="shared" si="4"/>
        <v>1</v>
      </c>
      <c r="E53" s="32">
        <v>45877</v>
      </c>
      <c r="F53" s="28">
        <f>SUMIF(Transactions!$C$18:$C$46,'Percentage Calc'!$E53,Transactions!D$18:D$46)</f>
        <v>0</v>
      </c>
      <c r="G53" s="28">
        <f>SUMIF(Transactions!$C$18:$C$46,'Percentage Calc'!$E53,Transactions!E$18:E$46)</f>
        <v>0</v>
      </c>
      <c r="H53" s="28">
        <f>SUMIF(Transactions!$C$18:$C$46,'Percentage Calc'!$E53,Transactions!F$18:F$46)</f>
        <v>0</v>
      </c>
      <c r="I53" s="28">
        <f>SUMIF(Transactions!$C$18:$C$46,'Percentage Calc'!$E53,Transactions!G$18:G$46)</f>
        <v>0</v>
      </c>
      <c r="J53" s="28">
        <f t="shared" si="0"/>
        <v>0</v>
      </c>
      <c r="K53" s="28">
        <f t="shared" si="1"/>
        <v>0</v>
      </c>
      <c r="L53" s="32"/>
      <c r="M53" s="28">
        <f>SUMIF(Transactions!$K$19:$K$46,'Percentage Calc'!$E53,Transactions!L$19:L$46)</f>
        <v>0</v>
      </c>
      <c r="N53" s="28">
        <f>SUMIF(Transactions!$K$19:$K$46,'Percentage Calc'!$E53,Transactions!M$19:M$46)</f>
        <v>0</v>
      </c>
      <c r="O53" s="28">
        <f>SUMIF(Transactions!$K$19:$K$46,'Percentage Calc'!$E53,Transactions!N$19:N$46)</f>
        <v>0</v>
      </c>
      <c r="P53" s="28">
        <f>SUMIF(Transactions!$K$19:$K$46,'Percentage Calc'!$E53,Transactions!O$19:O$46)</f>
        <v>0</v>
      </c>
      <c r="Q53" s="28">
        <f>SUMIF(Transactions!$K$19:$K$46,'Percentage Calc'!$E53,Transactions!P$19:P$46)</f>
        <v>0</v>
      </c>
      <c r="R53" s="28">
        <f t="shared" si="2"/>
        <v>0</v>
      </c>
      <c r="S53" s="28">
        <f t="shared" si="3"/>
        <v>0</v>
      </c>
    </row>
    <row r="54" spans="1:19" x14ac:dyDescent="0.35">
      <c r="A54" s="9"/>
      <c r="B54" s="32"/>
      <c r="C54" s="28">
        <f>IF(Check!$B$87=1,1,IF(R54&lt;1,0,1))</f>
        <v>1</v>
      </c>
      <c r="D54" s="28">
        <f t="shared" si="4"/>
        <v>1</v>
      </c>
      <c r="E54" s="32">
        <v>45878</v>
      </c>
      <c r="F54" s="28">
        <f>SUMIF(Transactions!$C$18:$C$46,'Percentage Calc'!$E54,Transactions!D$18:D$46)</f>
        <v>0</v>
      </c>
      <c r="G54" s="28">
        <f>SUMIF(Transactions!$C$18:$C$46,'Percentage Calc'!$E54,Transactions!E$18:E$46)</f>
        <v>0</v>
      </c>
      <c r="H54" s="28">
        <f>SUMIF(Transactions!$C$18:$C$46,'Percentage Calc'!$E54,Transactions!F$18:F$46)</f>
        <v>0</v>
      </c>
      <c r="I54" s="28">
        <f>SUMIF(Transactions!$C$18:$C$46,'Percentage Calc'!$E54,Transactions!G$18:G$46)</f>
        <v>0</v>
      </c>
      <c r="J54" s="28">
        <f t="shared" si="0"/>
        <v>0</v>
      </c>
      <c r="K54" s="28">
        <f t="shared" si="1"/>
        <v>0</v>
      </c>
      <c r="L54" s="32"/>
      <c r="M54" s="28">
        <f>SUMIF(Transactions!$K$19:$K$46,'Percentage Calc'!$E54,Transactions!L$19:L$46)</f>
        <v>0</v>
      </c>
      <c r="N54" s="28">
        <f>SUMIF(Transactions!$K$19:$K$46,'Percentage Calc'!$E54,Transactions!M$19:M$46)</f>
        <v>0</v>
      </c>
      <c r="O54" s="28">
        <f>SUMIF(Transactions!$K$19:$K$46,'Percentage Calc'!$E54,Transactions!N$19:N$46)</f>
        <v>0</v>
      </c>
      <c r="P54" s="28">
        <f>SUMIF(Transactions!$K$19:$K$46,'Percentage Calc'!$E54,Transactions!O$19:O$46)</f>
        <v>0</v>
      </c>
      <c r="Q54" s="28">
        <f>SUMIF(Transactions!$K$19:$K$46,'Percentage Calc'!$E54,Transactions!P$19:P$46)</f>
        <v>0</v>
      </c>
      <c r="R54" s="28">
        <f t="shared" si="2"/>
        <v>0</v>
      </c>
      <c r="S54" s="28">
        <f t="shared" si="3"/>
        <v>0</v>
      </c>
    </row>
    <row r="55" spans="1:19" x14ac:dyDescent="0.35">
      <c r="A55" s="9"/>
      <c r="B55" s="32"/>
      <c r="C55" s="28">
        <f>IF(Check!$B$87=1,1,IF(R55&lt;1,0,1))</f>
        <v>1</v>
      </c>
      <c r="D55" s="28">
        <f t="shared" si="4"/>
        <v>1</v>
      </c>
      <c r="E55" s="32">
        <v>45879</v>
      </c>
      <c r="F55" s="28">
        <f>SUMIF(Transactions!$C$18:$C$46,'Percentage Calc'!$E55,Transactions!D$18:D$46)</f>
        <v>0</v>
      </c>
      <c r="G55" s="28">
        <f>SUMIF(Transactions!$C$18:$C$46,'Percentage Calc'!$E55,Transactions!E$18:E$46)</f>
        <v>0</v>
      </c>
      <c r="H55" s="28">
        <f>SUMIF(Transactions!$C$18:$C$46,'Percentage Calc'!$E55,Transactions!F$18:F$46)</f>
        <v>0</v>
      </c>
      <c r="I55" s="28">
        <f>SUMIF(Transactions!$C$18:$C$46,'Percentage Calc'!$E55,Transactions!G$18:G$46)</f>
        <v>0</v>
      </c>
      <c r="J55" s="28">
        <f t="shared" si="0"/>
        <v>0</v>
      </c>
      <c r="K55" s="28">
        <f t="shared" si="1"/>
        <v>0</v>
      </c>
      <c r="L55" s="32"/>
      <c r="M55" s="28">
        <f>SUMIF(Transactions!$K$19:$K$46,'Percentage Calc'!$E55,Transactions!L$19:L$46)</f>
        <v>0</v>
      </c>
      <c r="N55" s="28">
        <f>SUMIF(Transactions!$K$19:$K$46,'Percentage Calc'!$E55,Transactions!M$19:M$46)</f>
        <v>0</v>
      </c>
      <c r="O55" s="28">
        <f>SUMIF(Transactions!$K$19:$K$46,'Percentage Calc'!$E55,Transactions!N$19:N$46)</f>
        <v>0</v>
      </c>
      <c r="P55" s="28">
        <f>SUMIF(Transactions!$K$19:$K$46,'Percentage Calc'!$E55,Transactions!O$19:O$46)</f>
        <v>0</v>
      </c>
      <c r="Q55" s="28">
        <f>SUMIF(Transactions!$K$19:$K$46,'Percentage Calc'!$E55,Transactions!P$19:P$46)</f>
        <v>0</v>
      </c>
      <c r="R55" s="28">
        <f t="shared" si="2"/>
        <v>0</v>
      </c>
      <c r="S55" s="28">
        <f t="shared" si="3"/>
        <v>0</v>
      </c>
    </row>
    <row r="56" spans="1:19" x14ac:dyDescent="0.35">
      <c r="A56" s="9"/>
      <c r="B56" s="32"/>
      <c r="C56" s="28">
        <f>IF(Check!$B$87=1,1,IF(R56&lt;1,0,1))</f>
        <v>1</v>
      </c>
      <c r="D56" s="28">
        <f t="shared" si="4"/>
        <v>1</v>
      </c>
      <c r="E56" s="32">
        <v>45880</v>
      </c>
      <c r="F56" s="28">
        <f>SUMIF(Transactions!$C$18:$C$46,'Percentage Calc'!$E56,Transactions!D$18:D$46)</f>
        <v>0</v>
      </c>
      <c r="G56" s="28">
        <f>SUMIF(Transactions!$C$18:$C$46,'Percentage Calc'!$E56,Transactions!E$18:E$46)</f>
        <v>0</v>
      </c>
      <c r="H56" s="28">
        <f>SUMIF(Transactions!$C$18:$C$46,'Percentage Calc'!$E56,Transactions!F$18:F$46)</f>
        <v>0</v>
      </c>
      <c r="I56" s="28">
        <f>SUMIF(Transactions!$C$18:$C$46,'Percentage Calc'!$E56,Transactions!G$18:G$46)</f>
        <v>0</v>
      </c>
      <c r="J56" s="28">
        <f t="shared" si="0"/>
        <v>0</v>
      </c>
      <c r="K56" s="28">
        <f t="shared" si="1"/>
        <v>0</v>
      </c>
      <c r="L56" s="32"/>
      <c r="M56" s="28">
        <f>SUMIF(Transactions!$K$19:$K$46,'Percentage Calc'!$E56,Transactions!L$19:L$46)</f>
        <v>0</v>
      </c>
      <c r="N56" s="28">
        <f>SUMIF(Transactions!$K$19:$K$46,'Percentage Calc'!$E56,Transactions!M$19:M$46)</f>
        <v>0</v>
      </c>
      <c r="O56" s="28">
        <f>SUMIF(Transactions!$K$19:$K$46,'Percentage Calc'!$E56,Transactions!N$19:N$46)</f>
        <v>0</v>
      </c>
      <c r="P56" s="28">
        <f>SUMIF(Transactions!$K$19:$K$46,'Percentage Calc'!$E56,Transactions!O$19:O$46)</f>
        <v>0</v>
      </c>
      <c r="Q56" s="28">
        <f>SUMIF(Transactions!$K$19:$K$46,'Percentage Calc'!$E56,Transactions!P$19:P$46)</f>
        <v>0</v>
      </c>
      <c r="R56" s="28">
        <f t="shared" si="2"/>
        <v>0</v>
      </c>
      <c r="S56" s="28">
        <f t="shared" si="3"/>
        <v>0</v>
      </c>
    </row>
    <row r="57" spans="1:19" x14ac:dyDescent="0.35">
      <c r="A57" s="9"/>
      <c r="B57" s="32"/>
      <c r="C57" s="28">
        <f>IF(Check!$B$87=1,1,IF(R57&lt;1,0,1))</f>
        <v>1</v>
      </c>
      <c r="D57" s="28">
        <f t="shared" si="4"/>
        <v>1</v>
      </c>
      <c r="E57" s="32">
        <v>45881</v>
      </c>
      <c r="F57" s="28">
        <f>SUMIF(Transactions!$C$18:$C$46,'Percentage Calc'!$E57,Transactions!D$18:D$46)</f>
        <v>0</v>
      </c>
      <c r="G57" s="28">
        <f>SUMIF(Transactions!$C$18:$C$46,'Percentage Calc'!$E57,Transactions!E$18:E$46)</f>
        <v>0</v>
      </c>
      <c r="H57" s="28">
        <f>SUMIF(Transactions!$C$18:$C$46,'Percentage Calc'!$E57,Transactions!F$18:F$46)</f>
        <v>0</v>
      </c>
      <c r="I57" s="28">
        <f>SUMIF(Transactions!$C$18:$C$46,'Percentage Calc'!$E57,Transactions!G$18:G$46)</f>
        <v>0</v>
      </c>
      <c r="J57" s="28">
        <f t="shared" si="0"/>
        <v>0</v>
      </c>
      <c r="K57" s="28">
        <f t="shared" si="1"/>
        <v>0</v>
      </c>
      <c r="L57" s="32"/>
      <c r="M57" s="28">
        <f>SUMIF(Transactions!$K$19:$K$46,'Percentage Calc'!$E57,Transactions!L$19:L$46)</f>
        <v>0</v>
      </c>
      <c r="N57" s="28">
        <f>SUMIF(Transactions!$K$19:$K$46,'Percentage Calc'!$E57,Transactions!M$19:M$46)</f>
        <v>0</v>
      </c>
      <c r="O57" s="28">
        <f>SUMIF(Transactions!$K$19:$K$46,'Percentage Calc'!$E57,Transactions!N$19:N$46)</f>
        <v>0</v>
      </c>
      <c r="P57" s="28">
        <f>SUMIF(Transactions!$K$19:$K$46,'Percentage Calc'!$E57,Transactions!O$19:O$46)</f>
        <v>0</v>
      </c>
      <c r="Q57" s="28">
        <f>SUMIF(Transactions!$K$19:$K$46,'Percentage Calc'!$E57,Transactions!P$19:P$46)</f>
        <v>0</v>
      </c>
      <c r="R57" s="28">
        <f t="shared" si="2"/>
        <v>0</v>
      </c>
      <c r="S57" s="28">
        <f t="shared" si="3"/>
        <v>0</v>
      </c>
    </row>
    <row r="58" spans="1:19" x14ac:dyDescent="0.35">
      <c r="A58" s="9"/>
      <c r="B58" s="32"/>
      <c r="C58" s="28">
        <f>IF(Check!$B$87=1,1,IF(R58&lt;1,0,1))</f>
        <v>1</v>
      </c>
      <c r="D58" s="28">
        <f t="shared" si="4"/>
        <v>1</v>
      </c>
      <c r="E58" s="32">
        <v>45882</v>
      </c>
      <c r="F58" s="28">
        <f>SUMIF(Transactions!$C$18:$C$46,'Percentage Calc'!$E58,Transactions!D$18:D$46)</f>
        <v>0</v>
      </c>
      <c r="G58" s="28">
        <f>SUMIF(Transactions!$C$18:$C$46,'Percentage Calc'!$E58,Transactions!E$18:E$46)</f>
        <v>0</v>
      </c>
      <c r="H58" s="28">
        <f>SUMIF(Transactions!$C$18:$C$46,'Percentage Calc'!$E58,Transactions!F$18:F$46)</f>
        <v>0</v>
      </c>
      <c r="I58" s="28">
        <f>SUMIF(Transactions!$C$18:$C$46,'Percentage Calc'!$E58,Transactions!G$18:G$46)</f>
        <v>0</v>
      </c>
      <c r="J58" s="28">
        <f t="shared" si="0"/>
        <v>0</v>
      </c>
      <c r="K58" s="28">
        <f t="shared" si="1"/>
        <v>0</v>
      </c>
      <c r="L58" s="32"/>
      <c r="M58" s="28">
        <f>SUMIF(Transactions!$K$19:$K$46,'Percentage Calc'!$E58,Transactions!L$19:L$46)</f>
        <v>0</v>
      </c>
      <c r="N58" s="28">
        <f>SUMIF(Transactions!$K$19:$K$46,'Percentage Calc'!$E58,Transactions!M$19:M$46)</f>
        <v>0</v>
      </c>
      <c r="O58" s="28">
        <f>SUMIF(Transactions!$K$19:$K$46,'Percentage Calc'!$E58,Transactions!N$19:N$46)</f>
        <v>0</v>
      </c>
      <c r="P58" s="28">
        <f>SUMIF(Transactions!$K$19:$K$46,'Percentage Calc'!$E58,Transactions!O$19:O$46)</f>
        <v>0</v>
      </c>
      <c r="Q58" s="28">
        <f>SUMIF(Transactions!$K$19:$K$46,'Percentage Calc'!$E58,Transactions!P$19:P$46)</f>
        <v>0</v>
      </c>
      <c r="R58" s="28">
        <f t="shared" si="2"/>
        <v>0</v>
      </c>
      <c r="S58" s="28">
        <f t="shared" si="3"/>
        <v>0</v>
      </c>
    </row>
    <row r="59" spans="1:19" x14ac:dyDescent="0.35">
      <c r="A59" s="9"/>
      <c r="B59" s="32"/>
      <c r="C59" s="28">
        <f>IF(Check!$B$87=1,1,IF(R59&lt;1,0,1))</f>
        <v>1</v>
      </c>
      <c r="D59" s="28">
        <f t="shared" si="4"/>
        <v>1</v>
      </c>
      <c r="E59" s="32">
        <v>45883</v>
      </c>
      <c r="F59" s="28">
        <f>SUMIF(Transactions!$C$18:$C$46,'Percentage Calc'!$E59,Transactions!D$18:D$46)</f>
        <v>0</v>
      </c>
      <c r="G59" s="28">
        <f>SUMIF(Transactions!$C$18:$C$46,'Percentage Calc'!$E59,Transactions!E$18:E$46)</f>
        <v>0</v>
      </c>
      <c r="H59" s="28">
        <f>SUMIF(Transactions!$C$18:$C$46,'Percentage Calc'!$E59,Transactions!F$18:F$46)</f>
        <v>0</v>
      </c>
      <c r="I59" s="28">
        <f>SUMIF(Transactions!$C$18:$C$46,'Percentage Calc'!$E59,Transactions!G$18:G$46)</f>
        <v>0</v>
      </c>
      <c r="J59" s="28">
        <f t="shared" si="0"/>
        <v>0</v>
      </c>
      <c r="K59" s="28">
        <f t="shared" si="1"/>
        <v>0</v>
      </c>
      <c r="L59" s="32"/>
      <c r="M59" s="28">
        <f>SUMIF(Transactions!$K$19:$K$46,'Percentage Calc'!$E59,Transactions!L$19:L$46)</f>
        <v>0</v>
      </c>
      <c r="N59" s="28">
        <f>SUMIF(Transactions!$K$19:$K$46,'Percentage Calc'!$E59,Transactions!M$19:M$46)</f>
        <v>0</v>
      </c>
      <c r="O59" s="28">
        <f>SUMIF(Transactions!$K$19:$K$46,'Percentage Calc'!$E59,Transactions!N$19:N$46)</f>
        <v>0</v>
      </c>
      <c r="P59" s="28">
        <f>SUMIF(Transactions!$K$19:$K$46,'Percentage Calc'!$E59,Transactions!O$19:O$46)</f>
        <v>0</v>
      </c>
      <c r="Q59" s="28">
        <f>SUMIF(Transactions!$K$19:$K$46,'Percentage Calc'!$E59,Transactions!P$19:P$46)</f>
        <v>0</v>
      </c>
      <c r="R59" s="28">
        <f t="shared" si="2"/>
        <v>0</v>
      </c>
      <c r="S59" s="28">
        <f t="shared" si="3"/>
        <v>0</v>
      </c>
    </row>
    <row r="60" spans="1:19" x14ac:dyDescent="0.35">
      <c r="A60" s="9"/>
      <c r="B60" s="32"/>
      <c r="C60" s="28">
        <f>IF(Check!$B$87=1,1,IF(R60&lt;1,0,1))</f>
        <v>1</v>
      </c>
      <c r="D60" s="28">
        <f t="shared" si="4"/>
        <v>1</v>
      </c>
      <c r="E60" s="32">
        <v>45884</v>
      </c>
      <c r="F60" s="28">
        <f>SUMIF(Transactions!$C$18:$C$46,'Percentage Calc'!$E60,Transactions!D$18:D$46)</f>
        <v>0</v>
      </c>
      <c r="G60" s="28">
        <f>SUMIF(Transactions!$C$18:$C$46,'Percentage Calc'!$E60,Transactions!E$18:E$46)</f>
        <v>0</v>
      </c>
      <c r="H60" s="28">
        <f>SUMIF(Transactions!$C$18:$C$46,'Percentage Calc'!$E60,Transactions!F$18:F$46)</f>
        <v>0</v>
      </c>
      <c r="I60" s="28">
        <f>SUMIF(Transactions!$C$18:$C$46,'Percentage Calc'!$E60,Transactions!G$18:G$46)</f>
        <v>0</v>
      </c>
      <c r="J60" s="28">
        <f t="shared" si="0"/>
        <v>0</v>
      </c>
      <c r="K60" s="28">
        <f t="shared" si="1"/>
        <v>0</v>
      </c>
      <c r="L60" s="32"/>
      <c r="M60" s="28">
        <f>SUMIF(Transactions!$K$19:$K$46,'Percentage Calc'!$E60,Transactions!L$19:L$46)</f>
        <v>0</v>
      </c>
      <c r="N60" s="28">
        <f>SUMIF(Transactions!$K$19:$K$46,'Percentage Calc'!$E60,Transactions!M$19:M$46)</f>
        <v>0</v>
      </c>
      <c r="O60" s="28">
        <f>SUMIF(Transactions!$K$19:$K$46,'Percentage Calc'!$E60,Transactions!N$19:N$46)</f>
        <v>0</v>
      </c>
      <c r="P60" s="28">
        <f>SUMIF(Transactions!$K$19:$K$46,'Percentage Calc'!$E60,Transactions!O$19:O$46)</f>
        <v>0</v>
      </c>
      <c r="Q60" s="28">
        <f>SUMIF(Transactions!$K$19:$K$46,'Percentage Calc'!$E60,Transactions!P$19:P$46)</f>
        <v>0</v>
      </c>
      <c r="R60" s="28">
        <f t="shared" si="2"/>
        <v>0</v>
      </c>
      <c r="S60" s="28">
        <f t="shared" si="3"/>
        <v>0</v>
      </c>
    </row>
    <row r="61" spans="1:19" x14ac:dyDescent="0.35">
      <c r="A61" s="9"/>
      <c r="B61" s="32"/>
      <c r="C61" s="28">
        <f>IF(Check!$B$87=1,1,IF(R61&lt;1,0,1))</f>
        <v>1</v>
      </c>
      <c r="D61" s="28">
        <f t="shared" si="4"/>
        <v>1</v>
      </c>
      <c r="E61" s="32">
        <v>45885</v>
      </c>
      <c r="F61" s="28">
        <f>SUMIF(Transactions!$C$18:$C$46,'Percentage Calc'!$E61,Transactions!D$18:D$46)</f>
        <v>0</v>
      </c>
      <c r="G61" s="28">
        <f>SUMIF(Transactions!$C$18:$C$46,'Percentage Calc'!$E61,Transactions!E$18:E$46)</f>
        <v>0</v>
      </c>
      <c r="H61" s="28">
        <f>SUMIF(Transactions!$C$18:$C$46,'Percentage Calc'!$E61,Transactions!F$18:F$46)</f>
        <v>0</v>
      </c>
      <c r="I61" s="28">
        <f>SUMIF(Transactions!$C$18:$C$46,'Percentage Calc'!$E61,Transactions!G$18:G$46)</f>
        <v>0</v>
      </c>
      <c r="J61" s="28">
        <f t="shared" si="0"/>
        <v>0</v>
      </c>
      <c r="K61" s="28">
        <f t="shared" si="1"/>
        <v>0</v>
      </c>
      <c r="L61" s="32"/>
      <c r="M61" s="28">
        <f>SUMIF(Transactions!$K$19:$K$46,'Percentage Calc'!$E61,Transactions!L$19:L$46)</f>
        <v>0</v>
      </c>
      <c r="N61" s="28">
        <f>SUMIF(Transactions!$K$19:$K$46,'Percentage Calc'!$E61,Transactions!M$19:M$46)</f>
        <v>0</v>
      </c>
      <c r="O61" s="28">
        <f>SUMIF(Transactions!$K$19:$K$46,'Percentage Calc'!$E61,Transactions!N$19:N$46)</f>
        <v>0</v>
      </c>
      <c r="P61" s="28">
        <f>SUMIF(Transactions!$K$19:$K$46,'Percentage Calc'!$E61,Transactions!O$19:O$46)</f>
        <v>0</v>
      </c>
      <c r="Q61" s="28">
        <f>SUMIF(Transactions!$K$19:$K$46,'Percentage Calc'!$E61,Transactions!P$19:P$46)</f>
        <v>0</v>
      </c>
      <c r="R61" s="28">
        <f t="shared" si="2"/>
        <v>0</v>
      </c>
      <c r="S61" s="28">
        <f t="shared" si="3"/>
        <v>0</v>
      </c>
    </row>
    <row r="62" spans="1:19" x14ac:dyDescent="0.35">
      <c r="A62" s="9"/>
      <c r="B62" s="32"/>
      <c r="C62" s="28">
        <f>IF(Check!$B$87=1,1,IF(R62&lt;1,0,1))</f>
        <v>1</v>
      </c>
      <c r="D62" s="28">
        <f t="shared" si="4"/>
        <v>1</v>
      </c>
      <c r="E62" s="32">
        <v>45886</v>
      </c>
      <c r="F62" s="28">
        <f>SUMIF(Transactions!$C$18:$C$46,'Percentage Calc'!$E62,Transactions!D$18:D$46)</f>
        <v>0</v>
      </c>
      <c r="G62" s="28">
        <f>SUMIF(Transactions!$C$18:$C$46,'Percentage Calc'!$E62,Transactions!E$18:E$46)</f>
        <v>0</v>
      </c>
      <c r="H62" s="28">
        <f>SUMIF(Transactions!$C$18:$C$46,'Percentage Calc'!$E62,Transactions!F$18:F$46)</f>
        <v>0</v>
      </c>
      <c r="I62" s="28">
        <f>SUMIF(Transactions!$C$18:$C$46,'Percentage Calc'!$E62,Transactions!G$18:G$46)</f>
        <v>0</v>
      </c>
      <c r="J62" s="28">
        <f t="shared" si="0"/>
        <v>0</v>
      </c>
      <c r="K62" s="28">
        <f t="shared" si="1"/>
        <v>0</v>
      </c>
      <c r="L62" s="32"/>
      <c r="M62" s="28">
        <f>SUMIF(Transactions!$K$19:$K$46,'Percentage Calc'!$E62,Transactions!L$19:L$46)</f>
        <v>0</v>
      </c>
      <c r="N62" s="28">
        <f>SUMIF(Transactions!$K$19:$K$46,'Percentage Calc'!$E62,Transactions!M$19:M$46)</f>
        <v>0</v>
      </c>
      <c r="O62" s="28">
        <f>SUMIF(Transactions!$K$19:$K$46,'Percentage Calc'!$E62,Transactions!N$19:N$46)</f>
        <v>0</v>
      </c>
      <c r="P62" s="28">
        <f>SUMIF(Transactions!$K$19:$K$46,'Percentage Calc'!$E62,Transactions!O$19:O$46)</f>
        <v>0</v>
      </c>
      <c r="Q62" s="28">
        <f>SUMIF(Transactions!$K$19:$K$46,'Percentage Calc'!$E62,Transactions!P$19:P$46)</f>
        <v>0</v>
      </c>
      <c r="R62" s="28">
        <f t="shared" si="2"/>
        <v>0</v>
      </c>
      <c r="S62" s="28">
        <f t="shared" si="3"/>
        <v>0</v>
      </c>
    </row>
    <row r="63" spans="1:19" x14ac:dyDescent="0.35">
      <c r="A63" s="9"/>
      <c r="B63" s="32"/>
      <c r="C63" s="28">
        <f>IF(Check!$B$87=1,1,IF(R63&lt;1,0,1))</f>
        <v>1</v>
      </c>
      <c r="D63" s="28">
        <f t="shared" si="4"/>
        <v>1</v>
      </c>
      <c r="E63" s="32">
        <v>45887</v>
      </c>
      <c r="F63" s="28">
        <f>SUMIF(Transactions!$C$18:$C$46,'Percentage Calc'!$E63,Transactions!D$18:D$46)</f>
        <v>0</v>
      </c>
      <c r="G63" s="28">
        <f>SUMIF(Transactions!$C$18:$C$46,'Percentage Calc'!$E63,Transactions!E$18:E$46)</f>
        <v>0</v>
      </c>
      <c r="H63" s="28">
        <f>SUMIF(Transactions!$C$18:$C$46,'Percentage Calc'!$E63,Transactions!F$18:F$46)</f>
        <v>0</v>
      </c>
      <c r="I63" s="28">
        <f>SUMIF(Transactions!$C$18:$C$46,'Percentage Calc'!$E63,Transactions!G$18:G$46)</f>
        <v>0</v>
      </c>
      <c r="J63" s="28">
        <f t="shared" si="0"/>
        <v>0</v>
      </c>
      <c r="K63" s="28">
        <f t="shared" si="1"/>
        <v>0</v>
      </c>
      <c r="L63" s="32"/>
      <c r="M63" s="28">
        <f>SUMIF(Transactions!$K$19:$K$46,'Percentage Calc'!$E63,Transactions!L$19:L$46)</f>
        <v>0</v>
      </c>
      <c r="N63" s="28">
        <f>SUMIF(Transactions!$K$19:$K$46,'Percentage Calc'!$E63,Transactions!M$19:M$46)</f>
        <v>0</v>
      </c>
      <c r="O63" s="28">
        <f>SUMIF(Transactions!$K$19:$K$46,'Percentage Calc'!$E63,Transactions!N$19:N$46)</f>
        <v>0</v>
      </c>
      <c r="P63" s="28">
        <f>SUMIF(Transactions!$K$19:$K$46,'Percentage Calc'!$E63,Transactions!O$19:O$46)</f>
        <v>0</v>
      </c>
      <c r="Q63" s="28">
        <f>SUMIF(Transactions!$K$19:$K$46,'Percentage Calc'!$E63,Transactions!P$19:P$46)</f>
        <v>0</v>
      </c>
      <c r="R63" s="28">
        <f t="shared" si="2"/>
        <v>0</v>
      </c>
      <c r="S63" s="28">
        <f t="shared" si="3"/>
        <v>0</v>
      </c>
    </row>
    <row r="64" spans="1:19" x14ac:dyDescent="0.35">
      <c r="A64" s="9"/>
      <c r="B64" s="32"/>
      <c r="C64" s="28">
        <f>IF(Check!$B$87=1,1,IF(R64&lt;1,0,1))</f>
        <v>1</v>
      </c>
      <c r="D64" s="28">
        <f t="shared" si="4"/>
        <v>1</v>
      </c>
      <c r="E64" s="32">
        <v>45888</v>
      </c>
      <c r="F64" s="28">
        <f>SUMIF(Transactions!$C$18:$C$46,'Percentage Calc'!$E64,Transactions!D$18:D$46)</f>
        <v>0</v>
      </c>
      <c r="G64" s="28">
        <f>SUMIF(Transactions!$C$18:$C$46,'Percentage Calc'!$E64,Transactions!E$18:E$46)</f>
        <v>0</v>
      </c>
      <c r="H64" s="28">
        <f>SUMIF(Transactions!$C$18:$C$46,'Percentage Calc'!$E64,Transactions!F$18:F$46)</f>
        <v>0</v>
      </c>
      <c r="I64" s="28">
        <f>SUMIF(Transactions!$C$18:$C$46,'Percentage Calc'!$E64,Transactions!G$18:G$46)</f>
        <v>0</v>
      </c>
      <c r="J64" s="28">
        <f t="shared" si="0"/>
        <v>0</v>
      </c>
      <c r="K64" s="28">
        <f t="shared" si="1"/>
        <v>0</v>
      </c>
      <c r="L64" s="32"/>
      <c r="M64" s="28">
        <f>SUMIF(Transactions!$K$19:$K$46,'Percentage Calc'!$E64,Transactions!L$19:L$46)</f>
        <v>0</v>
      </c>
      <c r="N64" s="28">
        <f>SUMIF(Transactions!$K$19:$K$46,'Percentage Calc'!$E64,Transactions!M$19:M$46)</f>
        <v>0</v>
      </c>
      <c r="O64" s="28">
        <f>SUMIF(Transactions!$K$19:$K$46,'Percentage Calc'!$E64,Transactions!N$19:N$46)</f>
        <v>0</v>
      </c>
      <c r="P64" s="28">
        <f>SUMIF(Transactions!$K$19:$K$46,'Percentage Calc'!$E64,Transactions!O$19:O$46)</f>
        <v>0</v>
      </c>
      <c r="Q64" s="28">
        <f>SUMIF(Transactions!$K$19:$K$46,'Percentage Calc'!$E64,Transactions!P$19:P$46)</f>
        <v>0</v>
      </c>
      <c r="R64" s="28">
        <f t="shared" si="2"/>
        <v>0</v>
      </c>
      <c r="S64" s="28">
        <f t="shared" si="3"/>
        <v>0</v>
      </c>
    </row>
    <row r="65" spans="1:19" x14ac:dyDescent="0.35">
      <c r="A65" s="9"/>
      <c r="B65" s="32"/>
      <c r="C65" s="28">
        <f>IF(Check!$B$87=1,1,IF(R65&lt;1,0,1))</f>
        <v>1</v>
      </c>
      <c r="D65" s="28">
        <f t="shared" si="4"/>
        <v>1</v>
      </c>
      <c r="E65" s="32">
        <v>45889</v>
      </c>
      <c r="F65" s="28">
        <f>SUMIF(Transactions!$C$18:$C$46,'Percentage Calc'!$E65,Transactions!D$18:D$46)</f>
        <v>0</v>
      </c>
      <c r="G65" s="28">
        <f>SUMIF(Transactions!$C$18:$C$46,'Percentage Calc'!$E65,Transactions!E$18:E$46)</f>
        <v>0</v>
      </c>
      <c r="H65" s="28">
        <f>SUMIF(Transactions!$C$18:$C$46,'Percentage Calc'!$E65,Transactions!F$18:F$46)</f>
        <v>0</v>
      </c>
      <c r="I65" s="28">
        <f>SUMIF(Transactions!$C$18:$C$46,'Percentage Calc'!$E65,Transactions!G$18:G$46)</f>
        <v>0</v>
      </c>
      <c r="J65" s="28">
        <f t="shared" si="0"/>
        <v>0</v>
      </c>
      <c r="K65" s="28">
        <f t="shared" si="1"/>
        <v>0</v>
      </c>
      <c r="L65" s="32"/>
      <c r="M65" s="28">
        <f>SUMIF(Transactions!$K$19:$K$46,'Percentage Calc'!$E65,Transactions!L$19:L$46)</f>
        <v>0</v>
      </c>
      <c r="N65" s="28">
        <f>SUMIF(Transactions!$K$19:$K$46,'Percentage Calc'!$E65,Transactions!M$19:M$46)</f>
        <v>0</v>
      </c>
      <c r="O65" s="28">
        <f>SUMIF(Transactions!$K$19:$K$46,'Percentage Calc'!$E65,Transactions!N$19:N$46)</f>
        <v>0</v>
      </c>
      <c r="P65" s="28">
        <f>SUMIF(Transactions!$K$19:$K$46,'Percentage Calc'!$E65,Transactions!O$19:O$46)</f>
        <v>0</v>
      </c>
      <c r="Q65" s="28">
        <f>SUMIF(Transactions!$K$19:$K$46,'Percentage Calc'!$E65,Transactions!P$19:P$46)</f>
        <v>0</v>
      </c>
      <c r="R65" s="28">
        <f t="shared" si="2"/>
        <v>0</v>
      </c>
      <c r="S65" s="28">
        <f t="shared" si="3"/>
        <v>0</v>
      </c>
    </row>
    <row r="66" spans="1:19" x14ac:dyDescent="0.35">
      <c r="A66" s="9"/>
      <c r="B66" s="32"/>
      <c r="C66" s="28">
        <f>IF(Check!$B$87=1,1,IF(R66&lt;1,0,1))</f>
        <v>1</v>
      </c>
      <c r="D66" s="28">
        <f t="shared" si="4"/>
        <v>1</v>
      </c>
      <c r="E66" s="32">
        <v>45890</v>
      </c>
      <c r="F66" s="28">
        <f>SUMIF(Transactions!$C$18:$C$46,'Percentage Calc'!$E66,Transactions!D$18:D$46)</f>
        <v>0</v>
      </c>
      <c r="G66" s="28">
        <f>SUMIF(Transactions!$C$18:$C$46,'Percentage Calc'!$E66,Transactions!E$18:E$46)</f>
        <v>0</v>
      </c>
      <c r="H66" s="28">
        <f>SUMIF(Transactions!$C$18:$C$46,'Percentage Calc'!$E66,Transactions!F$18:F$46)</f>
        <v>0</v>
      </c>
      <c r="I66" s="28">
        <f>SUMIF(Transactions!$C$18:$C$46,'Percentage Calc'!$E66,Transactions!G$18:G$46)</f>
        <v>0</v>
      </c>
      <c r="J66" s="28">
        <f t="shared" si="0"/>
        <v>0</v>
      </c>
      <c r="K66" s="28">
        <f t="shared" si="1"/>
        <v>0</v>
      </c>
      <c r="L66" s="32"/>
      <c r="M66" s="28">
        <f>SUMIF(Transactions!$K$19:$K$46,'Percentage Calc'!$E66,Transactions!L$19:L$46)</f>
        <v>0</v>
      </c>
      <c r="N66" s="28">
        <f>SUMIF(Transactions!$K$19:$K$46,'Percentage Calc'!$E66,Transactions!M$19:M$46)</f>
        <v>0</v>
      </c>
      <c r="O66" s="28">
        <f>SUMIF(Transactions!$K$19:$K$46,'Percentage Calc'!$E66,Transactions!N$19:N$46)</f>
        <v>0</v>
      </c>
      <c r="P66" s="28">
        <f>SUMIF(Transactions!$K$19:$K$46,'Percentage Calc'!$E66,Transactions!O$19:O$46)</f>
        <v>0</v>
      </c>
      <c r="Q66" s="28">
        <f>SUMIF(Transactions!$K$19:$K$46,'Percentage Calc'!$E66,Transactions!P$19:P$46)</f>
        <v>0</v>
      </c>
      <c r="R66" s="28">
        <f t="shared" si="2"/>
        <v>0</v>
      </c>
      <c r="S66" s="28">
        <f t="shared" si="3"/>
        <v>0</v>
      </c>
    </row>
    <row r="67" spans="1:19" x14ac:dyDescent="0.35">
      <c r="A67" s="9"/>
      <c r="B67" s="32"/>
      <c r="C67" s="28">
        <f>IF(Check!$B$87=1,1,IF(R67&lt;1,0,1))</f>
        <v>1</v>
      </c>
      <c r="D67" s="28">
        <f t="shared" si="4"/>
        <v>1</v>
      </c>
      <c r="E67" s="32">
        <v>45891</v>
      </c>
      <c r="F67" s="28">
        <f>SUMIF(Transactions!$C$18:$C$46,'Percentage Calc'!$E67,Transactions!D$18:D$46)</f>
        <v>0</v>
      </c>
      <c r="G67" s="28">
        <f>SUMIF(Transactions!$C$18:$C$46,'Percentage Calc'!$E67,Transactions!E$18:E$46)</f>
        <v>0</v>
      </c>
      <c r="H67" s="28">
        <f>SUMIF(Transactions!$C$18:$C$46,'Percentage Calc'!$E67,Transactions!F$18:F$46)</f>
        <v>0</v>
      </c>
      <c r="I67" s="28">
        <f>SUMIF(Transactions!$C$18:$C$46,'Percentage Calc'!$E67,Transactions!G$18:G$46)</f>
        <v>0</v>
      </c>
      <c r="J67" s="28">
        <f t="shared" si="0"/>
        <v>0</v>
      </c>
      <c r="K67" s="28">
        <f t="shared" si="1"/>
        <v>0</v>
      </c>
      <c r="L67" s="32"/>
      <c r="M67" s="28">
        <f>SUMIF(Transactions!$K$19:$K$46,'Percentage Calc'!$E67,Transactions!L$19:L$46)</f>
        <v>0</v>
      </c>
      <c r="N67" s="28">
        <f>SUMIF(Transactions!$K$19:$K$46,'Percentage Calc'!$E67,Transactions!M$19:M$46)</f>
        <v>0</v>
      </c>
      <c r="O67" s="28">
        <f>SUMIF(Transactions!$K$19:$K$46,'Percentage Calc'!$E67,Transactions!N$19:N$46)</f>
        <v>0</v>
      </c>
      <c r="P67" s="28">
        <f>SUMIF(Transactions!$K$19:$K$46,'Percentage Calc'!$E67,Transactions!O$19:O$46)</f>
        <v>0</v>
      </c>
      <c r="Q67" s="28">
        <f>SUMIF(Transactions!$K$19:$K$46,'Percentage Calc'!$E67,Transactions!P$19:P$46)</f>
        <v>0</v>
      </c>
      <c r="R67" s="28">
        <f t="shared" si="2"/>
        <v>0</v>
      </c>
      <c r="S67" s="28">
        <f t="shared" si="3"/>
        <v>0</v>
      </c>
    </row>
    <row r="68" spans="1:19" x14ac:dyDescent="0.35">
      <c r="A68" s="9"/>
      <c r="B68" s="32"/>
      <c r="C68" s="28">
        <f>IF(Check!$B$87=1,1,IF(R68&lt;1,0,1))</f>
        <v>1</v>
      </c>
      <c r="D68" s="28">
        <f t="shared" si="4"/>
        <v>1</v>
      </c>
      <c r="E68" s="32">
        <v>45892</v>
      </c>
      <c r="F68" s="28">
        <f>SUMIF(Transactions!$C$18:$C$46,'Percentage Calc'!$E68,Transactions!D$18:D$46)</f>
        <v>0</v>
      </c>
      <c r="G68" s="28">
        <f>SUMIF(Transactions!$C$18:$C$46,'Percentage Calc'!$E68,Transactions!E$18:E$46)</f>
        <v>0</v>
      </c>
      <c r="H68" s="28">
        <f>SUMIF(Transactions!$C$18:$C$46,'Percentage Calc'!$E68,Transactions!F$18:F$46)</f>
        <v>0</v>
      </c>
      <c r="I68" s="28">
        <f>SUMIF(Transactions!$C$18:$C$46,'Percentage Calc'!$E68,Transactions!G$18:G$46)</f>
        <v>0</v>
      </c>
      <c r="J68" s="28">
        <f t="shared" si="0"/>
        <v>0</v>
      </c>
      <c r="K68" s="28">
        <f t="shared" si="1"/>
        <v>0</v>
      </c>
      <c r="L68" s="32"/>
      <c r="M68" s="28">
        <f>SUMIF(Transactions!$K$19:$K$46,'Percentage Calc'!$E68,Transactions!L$19:L$46)</f>
        <v>0</v>
      </c>
      <c r="N68" s="28">
        <f>SUMIF(Transactions!$K$19:$K$46,'Percentage Calc'!$E68,Transactions!M$19:M$46)</f>
        <v>0</v>
      </c>
      <c r="O68" s="28">
        <f>SUMIF(Transactions!$K$19:$K$46,'Percentage Calc'!$E68,Transactions!N$19:N$46)</f>
        <v>0</v>
      </c>
      <c r="P68" s="28">
        <f>SUMIF(Transactions!$K$19:$K$46,'Percentage Calc'!$E68,Transactions!O$19:O$46)</f>
        <v>0</v>
      </c>
      <c r="Q68" s="28">
        <f>SUMIF(Transactions!$K$19:$K$46,'Percentage Calc'!$E68,Transactions!P$19:P$46)</f>
        <v>0</v>
      </c>
      <c r="R68" s="28">
        <f t="shared" si="2"/>
        <v>0</v>
      </c>
      <c r="S68" s="28">
        <f t="shared" si="3"/>
        <v>0</v>
      </c>
    </row>
    <row r="69" spans="1:19" x14ac:dyDescent="0.35">
      <c r="A69" s="9"/>
      <c r="B69" s="32"/>
      <c r="C69" s="28">
        <f>IF(Check!$B$87=1,1,IF(R69&lt;1,0,1))</f>
        <v>1</v>
      </c>
      <c r="D69" s="28">
        <f t="shared" si="4"/>
        <v>1</v>
      </c>
      <c r="E69" s="32">
        <v>45893</v>
      </c>
      <c r="F69" s="28">
        <f>SUMIF(Transactions!$C$18:$C$46,'Percentage Calc'!$E69,Transactions!D$18:D$46)</f>
        <v>0</v>
      </c>
      <c r="G69" s="28">
        <f>SUMIF(Transactions!$C$18:$C$46,'Percentage Calc'!$E69,Transactions!E$18:E$46)</f>
        <v>0</v>
      </c>
      <c r="H69" s="28">
        <f>SUMIF(Transactions!$C$18:$C$46,'Percentage Calc'!$E69,Transactions!F$18:F$46)</f>
        <v>0</v>
      </c>
      <c r="I69" s="28">
        <f>SUMIF(Transactions!$C$18:$C$46,'Percentage Calc'!$E69,Transactions!G$18:G$46)</f>
        <v>0</v>
      </c>
      <c r="J69" s="28">
        <f t="shared" si="0"/>
        <v>0</v>
      </c>
      <c r="K69" s="28">
        <f t="shared" si="1"/>
        <v>0</v>
      </c>
      <c r="L69" s="32"/>
      <c r="M69" s="28">
        <f>SUMIF(Transactions!$K$19:$K$46,'Percentage Calc'!$E69,Transactions!L$19:L$46)</f>
        <v>0</v>
      </c>
      <c r="N69" s="28">
        <f>SUMIF(Transactions!$K$19:$K$46,'Percentage Calc'!$E69,Transactions!M$19:M$46)</f>
        <v>0</v>
      </c>
      <c r="O69" s="28">
        <f>SUMIF(Transactions!$K$19:$K$46,'Percentage Calc'!$E69,Transactions!N$19:N$46)</f>
        <v>0</v>
      </c>
      <c r="P69" s="28">
        <f>SUMIF(Transactions!$K$19:$K$46,'Percentage Calc'!$E69,Transactions!O$19:O$46)</f>
        <v>0</v>
      </c>
      <c r="Q69" s="28">
        <f>SUMIF(Transactions!$K$19:$K$46,'Percentage Calc'!$E69,Transactions!P$19:P$46)</f>
        <v>0</v>
      </c>
      <c r="R69" s="28">
        <f t="shared" si="2"/>
        <v>0</v>
      </c>
      <c r="S69" s="28">
        <f t="shared" si="3"/>
        <v>0</v>
      </c>
    </row>
    <row r="70" spans="1:19" x14ac:dyDescent="0.35">
      <c r="A70" s="9"/>
      <c r="B70" s="32"/>
      <c r="C70" s="28">
        <f>IF(Check!$B$87=1,1,IF(R70&lt;1,0,1))</f>
        <v>1</v>
      </c>
      <c r="D70" s="28">
        <f t="shared" si="4"/>
        <v>1</v>
      </c>
      <c r="E70" s="32">
        <v>45894</v>
      </c>
      <c r="F70" s="28">
        <f>SUMIF(Transactions!$C$18:$C$46,'Percentage Calc'!$E70,Transactions!D$18:D$46)</f>
        <v>0</v>
      </c>
      <c r="G70" s="28">
        <f>SUMIF(Transactions!$C$18:$C$46,'Percentage Calc'!$E70,Transactions!E$18:E$46)</f>
        <v>0</v>
      </c>
      <c r="H70" s="28">
        <f>SUMIF(Transactions!$C$18:$C$46,'Percentage Calc'!$E70,Transactions!F$18:F$46)</f>
        <v>0</v>
      </c>
      <c r="I70" s="28">
        <f>SUMIF(Transactions!$C$18:$C$46,'Percentage Calc'!$E70,Transactions!G$18:G$46)</f>
        <v>0</v>
      </c>
      <c r="J70" s="28">
        <f t="shared" si="0"/>
        <v>0</v>
      </c>
      <c r="K70" s="28">
        <f t="shared" si="1"/>
        <v>0</v>
      </c>
      <c r="L70" s="32"/>
      <c r="M70" s="28">
        <f>SUMIF(Transactions!$K$19:$K$46,'Percentage Calc'!$E70,Transactions!L$19:L$46)</f>
        <v>0</v>
      </c>
      <c r="N70" s="28">
        <f>SUMIF(Transactions!$K$19:$K$46,'Percentage Calc'!$E70,Transactions!M$19:M$46)</f>
        <v>0</v>
      </c>
      <c r="O70" s="28">
        <f>SUMIF(Transactions!$K$19:$K$46,'Percentage Calc'!$E70,Transactions!N$19:N$46)</f>
        <v>0</v>
      </c>
      <c r="P70" s="28">
        <f>SUMIF(Transactions!$K$19:$K$46,'Percentage Calc'!$E70,Transactions!O$19:O$46)</f>
        <v>0</v>
      </c>
      <c r="Q70" s="28">
        <f>SUMIF(Transactions!$K$19:$K$46,'Percentage Calc'!$E70,Transactions!P$19:P$46)</f>
        <v>0</v>
      </c>
      <c r="R70" s="28">
        <f t="shared" si="2"/>
        <v>0</v>
      </c>
      <c r="S70" s="28">
        <f t="shared" si="3"/>
        <v>0</v>
      </c>
    </row>
    <row r="71" spans="1:19" x14ac:dyDescent="0.35">
      <c r="A71" s="9"/>
      <c r="B71" s="32"/>
      <c r="C71" s="28">
        <f>IF(Check!$B$87=1,1,IF(R71&lt;1,0,1))</f>
        <v>1</v>
      </c>
      <c r="D71" s="28">
        <f t="shared" si="4"/>
        <v>1</v>
      </c>
      <c r="E71" s="32">
        <v>45895</v>
      </c>
      <c r="F71" s="28">
        <f>SUMIF(Transactions!$C$18:$C$46,'Percentage Calc'!$E71,Transactions!D$18:D$46)</f>
        <v>0</v>
      </c>
      <c r="G71" s="28">
        <f>SUMIF(Transactions!$C$18:$C$46,'Percentage Calc'!$E71,Transactions!E$18:E$46)</f>
        <v>0</v>
      </c>
      <c r="H71" s="28">
        <f>SUMIF(Transactions!$C$18:$C$46,'Percentage Calc'!$E71,Transactions!F$18:F$46)</f>
        <v>0</v>
      </c>
      <c r="I71" s="28">
        <f>SUMIF(Transactions!$C$18:$C$46,'Percentage Calc'!$E71,Transactions!G$18:G$46)</f>
        <v>0</v>
      </c>
      <c r="J71" s="28">
        <f t="shared" si="0"/>
        <v>0</v>
      </c>
      <c r="K71" s="28">
        <f t="shared" si="1"/>
        <v>0</v>
      </c>
      <c r="L71" s="32"/>
      <c r="M71" s="28">
        <f>SUMIF(Transactions!$K$19:$K$46,'Percentage Calc'!$E71,Transactions!L$19:L$46)</f>
        <v>0</v>
      </c>
      <c r="N71" s="28">
        <f>SUMIF(Transactions!$K$19:$K$46,'Percentage Calc'!$E71,Transactions!M$19:M$46)</f>
        <v>0</v>
      </c>
      <c r="O71" s="28">
        <f>SUMIF(Transactions!$K$19:$K$46,'Percentage Calc'!$E71,Transactions!N$19:N$46)</f>
        <v>0</v>
      </c>
      <c r="P71" s="28">
        <f>SUMIF(Transactions!$K$19:$K$46,'Percentage Calc'!$E71,Transactions!O$19:O$46)</f>
        <v>0</v>
      </c>
      <c r="Q71" s="28">
        <f>SUMIF(Transactions!$K$19:$K$46,'Percentage Calc'!$E71,Transactions!P$19:P$46)</f>
        <v>0</v>
      </c>
      <c r="R71" s="28">
        <f t="shared" si="2"/>
        <v>0</v>
      </c>
      <c r="S71" s="28">
        <f t="shared" si="3"/>
        <v>0</v>
      </c>
    </row>
    <row r="72" spans="1:19" x14ac:dyDescent="0.35">
      <c r="A72" s="9"/>
      <c r="B72" s="32"/>
      <c r="C72" s="28">
        <f>IF(Check!$B$87=1,1,IF(R72&lt;1,0,1))</f>
        <v>1</v>
      </c>
      <c r="D72" s="28">
        <f t="shared" si="4"/>
        <v>1</v>
      </c>
      <c r="E72" s="32">
        <v>45896</v>
      </c>
      <c r="F72" s="28">
        <f>SUMIF(Transactions!$C$18:$C$46,'Percentage Calc'!$E72,Transactions!D$18:D$46)</f>
        <v>0</v>
      </c>
      <c r="G72" s="28">
        <f>SUMIF(Transactions!$C$18:$C$46,'Percentage Calc'!$E72,Transactions!E$18:E$46)</f>
        <v>0</v>
      </c>
      <c r="H72" s="28">
        <f>SUMIF(Transactions!$C$18:$C$46,'Percentage Calc'!$E72,Transactions!F$18:F$46)</f>
        <v>0</v>
      </c>
      <c r="I72" s="28">
        <f>SUMIF(Transactions!$C$18:$C$46,'Percentage Calc'!$E72,Transactions!G$18:G$46)</f>
        <v>0</v>
      </c>
      <c r="J72" s="28">
        <f t="shared" si="0"/>
        <v>0</v>
      </c>
      <c r="K72" s="28">
        <f t="shared" si="1"/>
        <v>0</v>
      </c>
      <c r="L72" s="32"/>
      <c r="M72" s="28">
        <f>SUMIF(Transactions!$K$19:$K$46,'Percentage Calc'!$E72,Transactions!L$19:L$46)</f>
        <v>0</v>
      </c>
      <c r="N72" s="28">
        <f>SUMIF(Transactions!$K$19:$K$46,'Percentage Calc'!$E72,Transactions!M$19:M$46)</f>
        <v>0</v>
      </c>
      <c r="O72" s="28">
        <f>SUMIF(Transactions!$K$19:$K$46,'Percentage Calc'!$E72,Transactions!N$19:N$46)</f>
        <v>0</v>
      </c>
      <c r="P72" s="28">
        <f>SUMIF(Transactions!$K$19:$K$46,'Percentage Calc'!$E72,Transactions!O$19:O$46)</f>
        <v>0</v>
      </c>
      <c r="Q72" s="28">
        <f>SUMIF(Transactions!$K$19:$K$46,'Percentage Calc'!$E72,Transactions!P$19:P$46)</f>
        <v>0</v>
      </c>
      <c r="R72" s="28">
        <f t="shared" si="2"/>
        <v>0</v>
      </c>
      <c r="S72" s="28">
        <f t="shared" si="3"/>
        <v>0</v>
      </c>
    </row>
    <row r="73" spans="1:19" x14ac:dyDescent="0.35">
      <c r="A73" s="9"/>
      <c r="B73" s="32"/>
      <c r="C73" s="28">
        <f>IF(Check!$B$87=1,1,IF(R73&lt;1,0,1))</f>
        <v>1</v>
      </c>
      <c r="D73" s="28">
        <f t="shared" si="4"/>
        <v>1</v>
      </c>
      <c r="E73" s="32">
        <v>45897</v>
      </c>
      <c r="F73" s="28">
        <f>SUMIF(Transactions!$C$18:$C$46,'Percentage Calc'!$E73,Transactions!D$18:D$46)</f>
        <v>0</v>
      </c>
      <c r="G73" s="28">
        <f>SUMIF(Transactions!$C$18:$C$46,'Percentage Calc'!$E73,Transactions!E$18:E$46)</f>
        <v>0</v>
      </c>
      <c r="H73" s="28">
        <f>SUMIF(Transactions!$C$18:$C$46,'Percentage Calc'!$E73,Transactions!F$18:F$46)</f>
        <v>0</v>
      </c>
      <c r="I73" s="28">
        <f>SUMIF(Transactions!$C$18:$C$46,'Percentage Calc'!$E73,Transactions!G$18:G$46)</f>
        <v>0</v>
      </c>
      <c r="J73" s="28">
        <f t="shared" si="0"/>
        <v>0</v>
      </c>
      <c r="K73" s="28">
        <f t="shared" si="1"/>
        <v>0</v>
      </c>
      <c r="L73" s="32"/>
      <c r="M73" s="28">
        <f>SUMIF(Transactions!$K$19:$K$46,'Percentage Calc'!$E73,Transactions!L$19:L$46)</f>
        <v>0</v>
      </c>
      <c r="N73" s="28">
        <f>SUMIF(Transactions!$K$19:$K$46,'Percentage Calc'!$E73,Transactions!M$19:M$46)</f>
        <v>0</v>
      </c>
      <c r="O73" s="28">
        <f>SUMIF(Transactions!$K$19:$K$46,'Percentage Calc'!$E73,Transactions!N$19:N$46)</f>
        <v>0</v>
      </c>
      <c r="P73" s="28">
        <f>SUMIF(Transactions!$K$19:$K$46,'Percentage Calc'!$E73,Transactions!O$19:O$46)</f>
        <v>0</v>
      </c>
      <c r="Q73" s="28">
        <f>SUMIF(Transactions!$K$19:$K$46,'Percentage Calc'!$E73,Transactions!P$19:P$46)</f>
        <v>0</v>
      </c>
      <c r="R73" s="28">
        <f t="shared" si="2"/>
        <v>0</v>
      </c>
      <c r="S73" s="28">
        <f t="shared" si="3"/>
        <v>0</v>
      </c>
    </row>
    <row r="74" spans="1:19" x14ac:dyDescent="0.35">
      <c r="A74" s="9"/>
      <c r="B74" s="32"/>
      <c r="C74" s="28">
        <f>IF(Check!$B$87=1,1,IF(R74&lt;1,0,1))</f>
        <v>1</v>
      </c>
      <c r="D74" s="28">
        <f t="shared" si="4"/>
        <v>1</v>
      </c>
      <c r="E74" s="32">
        <v>45898</v>
      </c>
      <c r="F74" s="28">
        <f>SUMIF(Transactions!$C$18:$C$46,'Percentage Calc'!$E74,Transactions!D$18:D$46)</f>
        <v>0</v>
      </c>
      <c r="G74" s="28">
        <f>SUMIF(Transactions!$C$18:$C$46,'Percentage Calc'!$E74,Transactions!E$18:E$46)</f>
        <v>0</v>
      </c>
      <c r="H74" s="28">
        <f>SUMIF(Transactions!$C$18:$C$46,'Percentage Calc'!$E74,Transactions!F$18:F$46)</f>
        <v>0</v>
      </c>
      <c r="I74" s="28">
        <f>SUMIF(Transactions!$C$18:$C$46,'Percentage Calc'!$E74,Transactions!G$18:G$46)</f>
        <v>0</v>
      </c>
      <c r="J74" s="28">
        <f t="shared" si="0"/>
        <v>0</v>
      </c>
      <c r="K74" s="28">
        <f t="shared" si="1"/>
        <v>0</v>
      </c>
      <c r="L74" s="32"/>
      <c r="M74" s="28">
        <f>SUMIF(Transactions!$K$19:$K$46,'Percentage Calc'!$E74,Transactions!L$19:L$46)</f>
        <v>0</v>
      </c>
      <c r="N74" s="28">
        <f>SUMIF(Transactions!$K$19:$K$46,'Percentage Calc'!$E74,Transactions!M$19:M$46)</f>
        <v>0</v>
      </c>
      <c r="O74" s="28">
        <f>SUMIF(Transactions!$K$19:$K$46,'Percentage Calc'!$E74,Transactions!N$19:N$46)</f>
        <v>0</v>
      </c>
      <c r="P74" s="28">
        <f>SUMIF(Transactions!$K$19:$K$46,'Percentage Calc'!$E74,Transactions!O$19:O$46)</f>
        <v>0</v>
      </c>
      <c r="Q74" s="28">
        <f>SUMIF(Transactions!$K$19:$K$46,'Percentage Calc'!$E74,Transactions!P$19:P$46)</f>
        <v>0</v>
      </c>
      <c r="R74" s="28">
        <f t="shared" si="2"/>
        <v>0</v>
      </c>
      <c r="S74" s="28">
        <f t="shared" si="3"/>
        <v>0</v>
      </c>
    </row>
    <row r="75" spans="1:19" x14ac:dyDescent="0.35">
      <c r="A75" s="9"/>
      <c r="B75" s="32"/>
      <c r="C75" s="28">
        <f>IF(Check!$B$87=1,1,IF(R75&lt;1,0,1))</f>
        <v>1</v>
      </c>
      <c r="D75" s="28">
        <f t="shared" si="4"/>
        <v>1</v>
      </c>
      <c r="E75" s="32">
        <v>45899</v>
      </c>
      <c r="F75" s="28">
        <f>SUMIF(Transactions!$C$18:$C$46,'Percentage Calc'!$E75,Transactions!D$18:D$46)</f>
        <v>0</v>
      </c>
      <c r="G75" s="28">
        <f>SUMIF(Transactions!$C$18:$C$46,'Percentage Calc'!$E75,Transactions!E$18:E$46)</f>
        <v>0</v>
      </c>
      <c r="H75" s="28">
        <f>SUMIF(Transactions!$C$18:$C$46,'Percentage Calc'!$E75,Transactions!F$18:F$46)</f>
        <v>0</v>
      </c>
      <c r="I75" s="28">
        <f>SUMIF(Transactions!$C$18:$C$46,'Percentage Calc'!$E75,Transactions!G$18:G$46)</f>
        <v>0</v>
      </c>
      <c r="J75" s="28">
        <f t="shared" si="0"/>
        <v>0</v>
      </c>
      <c r="K75" s="28">
        <f t="shared" si="1"/>
        <v>0</v>
      </c>
      <c r="L75" s="32"/>
      <c r="M75" s="28">
        <f>SUMIF(Transactions!$K$19:$K$46,'Percentage Calc'!$E75,Transactions!L$19:L$46)</f>
        <v>0</v>
      </c>
      <c r="N75" s="28">
        <f>SUMIF(Transactions!$K$19:$K$46,'Percentage Calc'!$E75,Transactions!M$19:M$46)</f>
        <v>0</v>
      </c>
      <c r="O75" s="28">
        <f>SUMIF(Transactions!$K$19:$K$46,'Percentage Calc'!$E75,Transactions!N$19:N$46)</f>
        <v>0</v>
      </c>
      <c r="P75" s="28">
        <f>SUMIF(Transactions!$K$19:$K$46,'Percentage Calc'!$E75,Transactions!O$19:O$46)</f>
        <v>0</v>
      </c>
      <c r="Q75" s="28">
        <f>SUMIF(Transactions!$K$19:$K$46,'Percentage Calc'!$E75,Transactions!P$19:P$46)</f>
        <v>0</v>
      </c>
      <c r="R75" s="28">
        <f t="shared" si="2"/>
        <v>0</v>
      </c>
      <c r="S75" s="28">
        <f t="shared" si="3"/>
        <v>0</v>
      </c>
    </row>
    <row r="76" spans="1:19" x14ac:dyDescent="0.35">
      <c r="A76" s="9"/>
      <c r="B76" s="32"/>
      <c r="C76" s="28">
        <f>IF(Check!$B$87=1,1,IF(R76&lt;1,0,1))</f>
        <v>1</v>
      </c>
      <c r="D76" s="28">
        <f t="shared" si="4"/>
        <v>1</v>
      </c>
      <c r="E76" s="32">
        <v>45900</v>
      </c>
      <c r="F76" s="28">
        <f>SUMIF(Transactions!$C$18:$C$46,'Percentage Calc'!$E76,Transactions!D$18:D$46)</f>
        <v>0</v>
      </c>
      <c r="G76" s="28">
        <f>SUMIF(Transactions!$C$18:$C$46,'Percentage Calc'!$E76,Transactions!E$18:E$46)</f>
        <v>0</v>
      </c>
      <c r="H76" s="28">
        <f>SUMIF(Transactions!$C$18:$C$46,'Percentage Calc'!$E76,Transactions!F$18:F$46)</f>
        <v>0</v>
      </c>
      <c r="I76" s="28">
        <f>SUMIF(Transactions!$C$18:$C$46,'Percentage Calc'!$E76,Transactions!G$18:G$46)</f>
        <v>0</v>
      </c>
      <c r="J76" s="28">
        <f t="shared" si="0"/>
        <v>0</v>
      </c>
      <c r="K76" s="28">
        <f t="shared" si="1"/>
        <v>0</v>
      </c>
      <c r="L76" s="32"/>
      <c r="M76" s="28">
        <f>SUMIF(Transactions!$K$19:$K$46,'Percentage Calc'!$E76,Transactions!L$19:L$46)</f>
        <v>0</v>
      </c>
      <c r="N76" s="28">
        <f>SUMIF(Transactions!$K$19:$K$46,'Percentage Calc'!$E76,Transactions!M$19:M$46)</f>
        <v>0</v>
      </c>
      <c r="O76" s="28">
        <f>SUMIF(Transactions!$K$19:$K$46,'Percentage Calc'!$E76,Transactions!N$19:N$46)</f>
        <v>0</v>
      </c>
      <c r="P76" s="28">
        <f>SUMIF(Transactions!$K$19:$K$46,'Percentage Calc'!$E76,Transactions!O$19:O$46)</f>
        <v>0</v>
      </c>
      <c r="Q76" s="28">
        <f>SUMIF(Transactions!$K$19:$K$46,'Percentage Calc'!$E76,Transactions!P$19:P$46)</f>
        <v>0</v>
      </c>
      <c r="R76" s="28">
        <f t="shared" si="2"/>
        <v>0</v>
      </c>
      <c r="S76" s="28">
        <f t="shared" si="3"/>
        <v>0</v>
      </c>
    </row>
    <row r="77" spans="1:19" x14ac:dyDescent="0.35">
      <c r="A77" s="9"/>
      <c r="B77" s="32"/>
      <c r="C77" s="28">
        <f>IF(Check!$B$87=1,1,IF(R77&lt;1,0,1))</f>
        <v>1</v>
      </c>
      <c r="D77" s="28">
        <f t="shared" si="4"/>
        <v>1</v>
      </c>
      <c r="E77" s="32">
        <v>45901</v>
      </c>
      <c r="F77" s="28">
        <f>SUMIF(Transactions!$C$18:$C$46,'Percentage Calc'!$E77,Transactions!D$18:D$46)</f>
        <v>0</v>
      </c>
      <c r="G77" s="28">
        <f>SUMIF(Transactions!$C$18:$C$46,'Percentage Calc'!$E77,Transactions!E$18:E$46)</f>
        <v>0</v>
      </c>
      <c r="H77" s="28">
        <f>SUMIF(Transactions!$C$18:$C$46,'Percentage Calc'!$E77,Transactions!F$18:F$46)</f>
        <v>0</v>
      </c>
      <c r="I77" s="28">
        <f>SUMIF(Transactions!$C$18:$C$46,'Percentage Calc'!$E77,Transactions!G$18:G$46)</f>
        <v>0</v>
      </c>
      <c r="J77" s="28">
        <f t="shared" si="0"/>
        <v>0</v>
      </c>
      <c r="K77" s="28">
        <f t="shared" si="1"/>
        <v>0</v>
      </c>
      <c r="L77" s="32"/>
      <c r="M77" s="28">
        <f>SUMIF(Transactions!$K$19:$K$46,'Percentage Calc'!$E77,Transactions!L$19:L$46)</f>
        <v>0</v>
      </c>
      <c r="N77" s="28">
        <f>SUMIF(Transactions!$K$19:$K$46,'Percentage Calc'!$E77,Transactions!M$19:M$46)</f>
        <v>0</v>
      </c>
      <c r="O77" s="28">
        <f>SUMIF(Transactions!$K$19:$K$46,'Percentage Calc'!$E77,Transactions!N$19:N$46)</f>
        <v>0</v>
      </c>
      <c r="P77" s="28">
        <f>SUMIF(Transactions!$K$19:$K$46,'Percentage Calc'!$E77,Transactions!O$19:O$46)</f>
        <v>0</v>
      </c>
      <c r="Q77" s="28">
        <f>SUMIF(Transactions!$K$19:$K$46,'Percentage Calc'!$E77,Transactions!P$19:P$46)</f>
        <v>0</v>
      </c>
      <c r="R77" s="28">
        <f t="shared" si="2"/>
        <v>0</v>
      </c>
      <c r="S77" s="28">
        <f t="shared" si="3"/>
        <v>0</v>
      </c>
    </row>
    <row r="78" spans="1:19" x14ac:dyDescent="0.35">
      <c r="A78" s="9"/>
      <c r="B78" s="32"/>
      <c r="C78" s="28">
        <f>IF(Check!$B$87=1,1,IF(R78&lt;1,0,1))</f>
        <v>1</v>
      </c>
      <c r="D78" s="28">
        <f t="shared" si="4"/>
        <v>1</v>
      </c>
      <c r="E78" s="32">
        <v>45902</v>
      </c>
      <c r="F78" s="28">
        <f>SUMIF(Transactions!$C$18:$C$46,'Percentage Calc'!$E78,Transactions!D$18:D$46)</f>
        <v>0</v>
      </c>
      <c r="G78" s="28">
        <f>SUMIF(Transactions!$C$18:$C$46,'Percentage Calc'!$E78,Transactions!E$18:E$46)</f>
        <v>0</v>
      </c>
      <c r="H78" s="28">
        <f>SUMIF(Transactions!$C$18:$C$46,'Percentage Calc'!$E78,Transactions!F$18:F$46)</f>
        <v>0</v>
      </c>
      <c r="I78" s="28">
        <f>SUMIF(Transactions!$C$18:$C$46,'Percentage Calc'!$E78,Transactions!G$18:G$46)</f>
        <v>0</v>
      </c>
      <c r="J78" s="28">
        <f t="shared" si="0"/>
        <v>0</v>
      </c>
      <c r="K78" s="28">
        <f t="shared" si="1"/>
        <v>0</v>
      </c>
      <c r="L78" s="32"/>
      <c r="M78" s="28">
        <f>SUMIF(Transactions!$K$19:$K$46,'Percentage Calc'!$E78,Transactions!L$19:L$46)</f>
        <v>0</v>
      </c>
      <c r="N78" s="28">
        <f>SUMIF(Transactions!$K$19:$K$46,'Percentage Calc'!$E78,Transactions!M$19:M$46)</f>
        <v>0</v>
      </c>
      <c r="O78" s="28">
        <f>SUMIF(Transactions!$K$19:$K$46,'Percentage Calc'!$E78,Transactions!N$19:N$46)</f>
        <v>0</v>
      </c>
      <c r="P78" s="28">
        <f>SUMIF(Transactions!$K$19:$K$46,'Percentage Calc'!$E78,Transactions!O$19:O$46)</f>
        <v>0</v>
      </c>
      <c r="Q78" s="28">
        <f>SUMIF(Transactions!$K$19:$K$46,'Percentage Calc'!$E78,Transactions!P$19:P$46)</f>
        <v>0</v>
      </c>
      <c r="R78" s="28">
        <f t="shared" si="2"/>
        <v>0</v>
      </c>
      <c r="S78" s="28">
        <f t="shared" si="3"/>
        <v>0</v>
      </c>
    </row>
    <row r="79" spans="1:19" x14ac:dyDescent="0.35">
      <c r="A79" s="9"/>
      <c r="B79" s="32"/>
      <c r="C79" s="28">
        <f>IF(Check!$B$87=1,1,IF(R79&lt;1,0,1))</f>
        <v>1</v>
      </c>
      <c r="D79" s="28">
        <f t="shared" si="4"/>
        <v>1</v>
      </c>
      <c r="E79" s="32">
        <v>45903</v>
      </c>
      <c r="F79" s="28">
        <f>SUMIF(Transactions!$C$18:$C$46,'Percentage Calc'!$E79,Transactions!D$18:D$46)</f>
        <v>0</v>
      </c>
      <c r="G79" s="28">
        <f>SUMIF(Transactions!$C$18:$C$46,'Percentage Calc'!$E79,Transactions!E$18:E$46)</f>
        <v>0</v>
      </c>
      <c r="H79" s="28">
        <f>SUMIF(Transactions!$C$18:$C$46,'Percentage Calc'!$E79,Transactions!F$18:F$46)</f>
        <v>0</v>
      </c>
      <c r="I79" s="28">
        <f>SUMIF(Transactions!$C$18:$C$46,'Percentage Calc'!$E79,Transactions!G$18:G$46)</f>
        <v>0</v>
      </c>
      <c r="J79" s="28">
        <f t="shared" si="0"/>
        <v>0</v>
      </c>
      <c r="K79" s="28">
        <f t="shared" si="1"/>
        <v>0</v>
      </c>
      <c r="L79" s="32"/>
      <c r="M79" s="28">
        <f>SUMIF(Transactions!$K$19:$K$46,'Percentage Calc'!$E79,Transactions!L$19:L$46)</f>
        <v>0</v>
      </c>
      <c r="N79" s="28">
        <f>SUMIF(Transactions!$K$19:$K$46,'Percentage Calc'!$E79,Transactions!M$19:M$46)</f>
        <v>0</v>
      </c>
      <c r="O79" s="28">
        <f>SUMIF(Transactions!$K$19:$K$46,'Percentage Calc'!$E79,Transactions!N$19:N$46)</f>
        <v>0</v>
      </c>
      <c r="P79" s="28">
        <f>SUMIF(Transactions!$K$19:$K$46,'Percentage Calc'!$E79,Transactions!O$19:O$46)</f>
        <v>0</v>
      </c>
      <c r="Q79" s="28">
        <f>SUMIF(Transactions!$K$19:$K$46,'Percentage Calc'!$E79,Transactions!P$19:P$46)</f>
        <v>0</v>
      </c>
      <c r="R79" s="28">
        <f t="shared" si="2"/>
        <v>0</v>
      </c>
      <c r="S79" s="28">
        <f t="shared" si="3"/>
        <v>0</v>
      </c>
    </row>
    <row r="80" spans="1:19" x14ac:dyDescent="0.35">
      <c r="A80" s="9"/>
      <c r="B80" s="32"/>
      <c r="C80" s="28">
        <f>IF(Check!$B$87=1,1,IF(R80&lt;1,0,1))</f>
        <v>1</v>
      </c>
      <c r="D80" s="28">
        <f t="shared" si="4"/>
        <v>1</v>
      </c>
      <c r="E80" s="32">
        <v>45904</v>
      </c>
      <c r="F80" s="28">
        <f>SUMIF(Transactions!$C$18:$C$46,'Percentage Calc'!$E80,Transactions!D$18:D$46)</f>
        <v>0</v>
      </c>
      <c r="G80" s="28">
        <f>SUMIF(Transactions!$C$18:$C$46,'Percentage Calc'!$E80,Transactions!E$18:E$46)</f>
        <v>0</v>
      </c>
      <c r="H80" s="28">
        <f>SUMIF(Transactions!$C$18:$C$46,'Percentage Calc'!$E80,Transactions!F$18:F$46)</f>
        <v>0</v>
      </c>
      <c r="I80" s="28">
        <f>SUMIF(Transactions!$C$18:$C$46,'Percentage Calc'!$E80,Transactions!G$18:G$46)</f>
        <v>0</v>
      </c>
      <c r="J80" s="28">
        <f t="shared" ref="J80:J143" si="5">SUM(F80:I80)+J79</f>
        <v>0</v>
      </c>
      <c r="K80" s="28">
        <f t="shared" ref="K80:K143" si="6">ROUND($C80*J80/$E$4,3)</f>
        <v>0</v>
      </c>
      <c r="L80" s="32"/>
      <c r="M80" s="28">
        <f>SUMIF(Transactions!$K$19:$K$46,'Percentage Calc'!$E80,Transactions!L$19:L$46)</f>
        <v>0</v>
      </c>
      <c r="N80" s="28">
        <f>SUMIF(Transactions!$K$19:$K$46,'Percentage Calc'!$E80,Transactions!M$19:M$46)</f>
        <v>0</v>
      </c>
      <c r="O80" s="28">
        <f>SUMIF(Transactions!$K$19:$K$46,'Percentage Calc'!$E80,Transactions!N$19:N$46)</f>
        <v>0</v>
      </c>
      <c r="P80" s="28">
        <f>SUMIF(Transactions!$K$19:$K$46,'Percentage Calc'!$E80,Transactions!O$19:O$46)</f>
        <v>0</v>
      </c>
      <c r="Q80" s="28">
        <f>SUMIF(Transactions!$K$19:$K$46,'Percentage Calc'!$E80,Transactions!P$19:P$46)</f>
        <v>0</v>
      </c>
      <c r="R80" s="28">
        <f t="shared" ref="R80:R143" si="7">SUM(M80:Q80)+R79</f>
        <v>0</v>
      </c>
      <c r="S80" s="28">
        <f t="shared" ref="S80:S143" si="8">ROUND($C80*R80/$E$4,3)</f>
        <v>0</v>
      </c>
    </row>
    <row r="81" spans="1:19" x14ac:dyDescent="0.35">
      <c r="A81" s="9"/>
      <c r="B81" s="32"/>
      <c r="C81" s="28">
        <f>IF(Check!$B$87=1,1,IF(R81&lt;1,0,1))</f>
        <v>1</v>
      </c>
      <c r="D81" s="28">
        <f t="shared" ref="D81:D144" si="9">IF(C81&lt;&gt;C80,D80+1,D80)</f>
        <v>1</v>
      </c>
      <c r="E81" s="32">
        <v>45905</v>
      </c>
      <c r="F81" s="28">
        <f>SUMIF(Transactions!$C$18:$C$46,'Percentage Calc'!$E81,Transactions!D$18:D$46)</f>
        <v>0</v>
      </c>
      <c r="G81" s="28">
        <f>SUMIF(Transactions!$C$18:$C$46,'Percentage Calc'!$E81,Transactions!E$18:E$46)</f>
        <v>0</v>
      </c>
      <c r="H81" s="28">
        <f>SUMIF(Transactions!$C$18:$C$46,'Percentage Calc'!$E81,Transactions!F$18:F$46)</f>
        <v>0</v>
      </c>
      <c r="I81" s="28">
        <f>SUMIF(Transactions!$C$18:$C$46,'Percentage Calc'!$E81,Transactions!G$18:G$46)</f>
        <v>0</v>
      </c>
      <c r="J81" s="28">
        <f t="shared" si="5"/>
        <v>0</v>
      </c>
      <c r="K81" s="28">
        <f t="shared" si="6"/>
        <v>0</v>
      </c>
      <c r="L81" s="32"/>
      <c r="M81" s="28">
        <f>SUMIF(Transactions!$K$19:$K$46,'Percentage Calc'!$E81,Transactions!L$19:L$46)</f>
        <v>0</v>
      </c>
      <c r="N81" s="28">
        <f>SUMIF(Transactions!$K$19:$K$46,'Percentage Calc'!$E81,Transactions!M$19:M$46)</f>
        <v>0</v>
      </c>
      <c r="O81" s="28">
        <f>SUMIF(Transactions!$K$19:$K$46,'Percentage Calc'!$E81,Transactions!N$19:N$46)</f>
        <v>0</v>
      </c>
      <c r="P81" s="28">
        <f>SUMIF(Transactions!$K$19:$K$46,'Percentage Calc'!$E81,Transactions!O$19:O$46)</f>
        <v>0</v>
      </c>
      <c r="Q81" s="28">
        <f>SUMIF(Transactions!$K$19:$K$46,'Percentage Calc'!$E81,Transactions!P$19:P$46)</f>
        <v>0</v>
      </c>
      <c r="R81" s="28">
        <f t="shared" si="7"/>
        <v>0</v>
      </c>
      <c r="S81" s="28">
        <f t="shared" si="8"/>
        <v>0</v>
      </c>
    </row>
    <row r="82" spans="1:19" x14ac:dyDescent="0.35">
      <c r="A82" s="9"/>
      <c r="B82" s="32"/>
      <c r="C82" s="28">
        <f>IF(Check!$B$87=1,1,IF(R82&lt;1,0,1))</f>
        <v>1</v>
      </c>
      <c r="D82" s="28">
        <f t="shared" si="9"/>
        <v>1</v>
      </c>
      <c r="E82" s="32">
        <v>45906</v>
      </c>
      <c r="F82" s="28">
        <f>SUMIF(Transactions!$C$18:$C$46,'Percentage Calc'!$E82,Transactions!D$18:D$46)</f>
        <v>0</v>
      </c>
      <c r="G82" s="28">
        <f>SUMIF(Transactions!$C$18:$C$46,'Percentage Calc'!$E82,Transactions!E$18:E$46)</f>
        <v>0</v>
      </c>
      <c r="H82" s="28">
        <f>SUMIF(Transactions!$C$18:$C$46,'Percentage Calc'!$E82,Transactions!F$18:F$46)</f>
        <v>0</v>
      </c>
      <c r="I82" s="28">
        <f>SUMIF(Transactions!$C$18:$C$46,'Percentage Calc'!$E82,Transactions!G$18:G$46)</f>
        <v>0</v>
      </c>
      <c r="J82" s="28">
        <f t="shared" si="5"/>
        <v>0</v>
      </c>
      <c r="K82" s="28">
        <f t="shared" si="6"/>
        <v>0</v>
      </c>
      <c r="L82" s="32"/>
      <c r="M82" s="28">
        <f>SUMIF(Transactions!$K$19:$K$46,'Percentage Calc'!$E82,Transactions!L$19:L$46)</f>
        <v>0</v>
      </c>
      <c r="N82" s="28">
        <f>SUMIF(Transactions!$K$19:$K$46,'Percentage Calc'!$E82,Transactions!M$19:M$46)</f>
        <v>0</v>
      </c>
      <c r="O82" s="28">
        <f>SUMIF(Transactions!$K$19:$K$46,'Percentage Calc'!$E82,Transactions!N$19:N$46)</f>
        <v>0</v>
      </c>
      <c r="P82" s="28">
        <f>SUMIF(Transactions!$K$19:$K$46,'Percentage Calc'!$E82,Transactions!O$19:O$46)</f>
        <v>0</v>
      </c>
      <c r="Q82" s="28">
        <f>SUMIF(Transactions!$K$19:$K$46,'Percentage Calc'!$E82,Transactions!P$19:P$46)</f>
        <v>0</v>
      </c>
      <c r="R82" s="28">
        <f t="shared" si="7"/>
        <v>0</v>
      </c>
      <c r="S82" s="28">
        <f t="shared" si="8"/>
        <v>0</v>
      </c>
    </row>
    <row r="83" spans="1:19" x14ac:dyDescent="0.35">
      <c r="A83" s="9"/>
      <c r="B83" s="32"/>
      <c r="C83" s="28">
        <f>IF(Check!$B$87=1,1,IF(R83&lt;1,0,1))</f>
        <v>1</v>
      </c>
      <c r="D83" s="28">
        <f t="shared" si="9"/>
        <v>1</v>
      </c>
      <c r="E83" s="32">
        <v>45907</v>
      </c>
      <c r="F83" s="28">
        <f>SUMIF(Transactions!$C$18:$C$46,'Percentage Calc'!$E83,Transactions!D$18:D$46)</f>
        <v>0</v>
      </c>
      <c r="G83" s="28">
        <f>SUMIF(Transactions!$C$18:$C$46,'Percentage Calc'!$E83,Transactions!E$18:E$46)</f>
        <v>0</v>
      </c>
      <c r="H83" s="28">
        <f>SUMIF(Transactions!$C$18:$C$46,'Percentage Calc'!$E83,Transactions!F$18:F$46)</f>
        <v>0</v>
      </c>
      <c r="I83" s="28">
        <f>SUMIF(Transactions!$C$18:$C$46,'Percentage Calc'!$E83,Transactions!G$18:G$46)</f>
        <v>0</v>
      </c>
      <c r="J83" s="28">
        <f t="shared" si="5"/>
        <v>0</v>
      </c>
      <c r="K83" s="28">
        <f t="shared" si="6"/>
        <v>0</v>
      </c>
      <c r="L83" s="32"/>
      <c r="M83" s="28">
        <f>SUMIF(Transactions!$K$19:$K$46,'Percentage Calc'!$E83,Transactions!L$19:L$46)</f>
        <v>0</v>
      </c>
      <c r="N83" s="28">
        <f>SUMIF(Transactions!$K$19:$K$46,'Percentage Calc'!$E83,Transactions!M$19:M$46)</f>
        <v>0</v>
      </c>
      <c r="O83" s="28">
        <f>SUMIF(Transactions!$K$19:$K$46,'Percentage Calc'!$E83,Transactions!N$19:N$46)</f>
        <v>0</v>
      </c>
      <c r="P83" s="28">
        <f>SUMIF(Transactions!$K$19:$K$46,'Percentage Calc'!$E83,Transactions!O$19:O$46)</f>
        <v>0</v>
      </c>
      <c r="Q83" s="28">
        <f>SUMIF(Transactions!$K$19:$K$46,'Percentage Calc'!$E83,Transactions!P$19:P$46)</f>
        <v>0</v>
      </c>
      <c r="R83" s="28">
        <f t="shared" si="7"/>
        <v>0</v>
      </c>
      <c r="S83" s="28">
        <f t="shared" si="8"/>
        <v>0</v>
      </c>
    </row>
    <row r="84" spans="1:19" x14ac:dyDescent="0.35">
      <c r="A84" s="9"/>
      <c r="B84" s="32"/>
      <c r="C84" s="28">
        <f>IF(Check!$B$87=1,1,IF(R84&lt;1,0,1))</f>
        <v>1</v>
      </c>
      <c r="D84" s="28">
        <f t="shared" si="9"/>
        <v>1</v>
      </c>
      <c r="E84" s="32">
        <v>45908</v>
      </c>
      <c r="F84" s="28">
        <f>SUMIF(Transactions!$C$18:$C$46,'Percentage Calc'!$E84,Transactions!D$18:D$46)</f>
        <v>0</v>
      </c>
      <c r="G84" s="28">
        <f>SUMIF(Transactions!$C$18:$C$46,'Percentage Calc'!$E84,Transactions!E$18:E$46)</f>
        <v>0</v>
      </c>
      <c r="H84" s="28">
        <f>SUMIF(Transactions!$C$18:$C$46,'Percentage Calc'!$E84,Transactions!F$18:F$46)</f>
        <v>0</v>
      </c>
      <c r="I84" s="28">
        <f>SUMIF(Transactions!$C$18:$C$46,'Percentage Calc'!$E84,Transactions!G$18:G$46)</f>
        <v>0</v>
      </c>
      <c r="J84" s="28">
        <f t="shared" si="5"/>
        <v>0</v>
      </c>
      <c r="K84" s="28">
        <f t="shared" si="6"/>
        <v>0</v>
      </c>
      <c r="L84" s="32"/>
      <c r="M84" s="28">
        <f>SUMIF(Transactions!$K$19:$K$46,'Percentage Calc'!$E84,Transactions!L$19:L$46)</f>
        <v>0</v>
      </c>
      <c r="N84" s="28">
        <f>SUMIF(Transactions!$K$19:$K$46,'Percentage Calc'!$E84,Transactions!M$19:M$46)</f>
        <v>0</v>
      </c>
      <c r="O84" s="28">
        <f>SUMIF(Transactions!$K$19:$K$46,'Percentage Calc'!$E84,Transactions!N$19:N$46)</f>
        <v>0</v>
      </c>
      <c r="P84" s="28">
        <f>SUMIF(Transactions!$K$19:$K$46,'Percentage Calc'!$E84,Transactions!O$19:O$46)</f>
        <v>0</v>
      </c>
      <c r="Q84" s="28">
        <f>SUMIF(Transactions!$K$19:$K$46,'Percentage Calc'!$E84,Transactions!P$19:P$46)</f>
        <v>0</v>
      </c>
      <c r="R84" s="28">
        <f t="shared" si="7"/>
        <v>0</v>
      </c>
      <c r="S84" s="28">
        <f t="shared" si="8"/>
        <v>0</v>
      </c>
    </row>
    <row r="85" spans="1:19" x14ac:dyDescent="0.35">
      <c r="A85" s="9"/>
      <c r="B85" s="32"/>
      <c r="C85" s="28">
        <f>IF(Check!$B$87=1,1,IF(R85&lt;1,0,1))</f>
        <v>1</v>
      </c>
      <c r="D85" s="28">
        <f t="shared" si="9"/>
        <v>1</v>
      </c>
      <c r="E85" s="32">
        <v>45909</v>
      </c>
      <c r="F85" s="28">
        <f>SUMIF(Transactions!$C$18:$C$46,'Percentage Calc'!$E85,Transactions!D$18:D$46)</f>
        <v>0</v>
      </c>
      <c r="G85" s="28">
        <f>SUMIF(Transactions!$C$18:$C$46,'Percentage Calc'!$E85,Transactions!E$18:E$46)</f>
        <v>0</v>
      </c>
      <c r="H85" s="28">
        <f>SUMIF(Transactions!$C$18:$C$46,'Percentage Calc'!$E85,Transactions!F$18:F$46)</f>
        <v>0</v>
      </c>
      <c r="I85" s="28">
        <f>SUMIF(Transactions!$C$18:$C$46,'Percentage Calc'!$E85,Transactions!G$18:G$46)</f>
        <v>0</v>
      </c>
      <c r="J85" s="28">
        <f t="shared" si="5"/>
        <v>0</v>
      </c>
      <c r="K85" s="28">
        <f t="shared" si="6"/>
        <v>0</v>
      </c>
      <c r="L85" s="32"/>
      <c r="M85" s="28">
        <f>SUMIF(Transactions!$K$19:$K$46,'Percentage Calc'!$E85,Transactions!L$19:L$46)</f>
        <v>0</v>
      </c>
      <c r="N85" s="28">
        <f>SUMIF(Transactions!$K$19:$K$46,'Percentage Calc'!$E85,Transactions!M$19:M$46)</f>
        <v>0</v>
      </c>
      <c r="O85" s="28">
        <f>SUMIF(Transactions!$K$19:$K$46,'Percentage Calc'!$E85,Transactions!N$19:N$46)</f>
        <v>0</v>
      </c>
      <c r="P85" s="28">
        <f>SUMIF(Transactions!$K$19:$K$46,'Percentage Calc'!$E85,Transactions!O$19:O$46)</f>
        <v>0</v>
      </c>
      <c r="Q85" s="28">
        <f>SUMIF(Transactions!$K$19:$K$46,'Percentage Calc'!$E85,Transactions!P$19:P$46)</f>
        <v>0</v>
      </c>
      <c r="R85" s="28">
        <f t="shared" si="7"/>
        <v>0</v>
      </c>
      <c r="S85" s="28">
        <f t="shared" si="8"/>
        <v>0</v>
      </c>
    </row>
    <row r="86" spans="1:19" x14ac:dyDescent="0.35">
      <c r="A86" s="9"/>
      <c r="B86" s="32"/>
      <c r="C86" s="28">
        <f>IF(Check!$B$87=1,1,IF(R86&lt;1,0,1))</f>
        <v>1</v>
      </c>
      <c r="D86" s="28">
        <f t="shared" si="9"/>
        <v>1</v>
      </c>
      <c r="E86" s="32">
        <v>45910</v>
      </c>
      <c r="F86" s="28">
        <f>SUMIF(Transactions!$C$18:$C$46,'Percentage Calc'!$E86,Transactions!D$18:D$46)</f>
        <v>0</v>
      </c>
      <c r="G86" s="28">
        <f>SUMIF(Transactions!$C$18:$C$46,'Percentage Calc'!$E86,Transactions!E$18:E$46)</f>
        <v>0</v>
      </c>
      <c r="H86" s="28">
        <f>SUMIF(Transactions!$C$18:$C$46,'Percentage Calc'!$E86,Transactions!F$18:F$46)</f>
        <v>0</v>
      </c>
      <c r="I86" s="28">
        <f>SUMIF(Transactions!$C$18:$C$46,'Percentage Calc'!$E86,Transactions!G$18:G$46)</f>
        <v>0</v>
      </c>
      <c r="J86" s="28">
        <f t="shared" si="5"/>
        <v>0</v>
      </c>
      <c r="K86" s="28">
        <f t="shared" si="6"/>
        <v>0</v>
      </c>
      <c r="L86" s="32"/>
      <c r="M86" s="28">
        <f>SUMIF(Transactions!$K$19:$K$46,'Percentage Calc'!$E86,Transactions!L$19:L$46)</f>
        <v>0</v>
      </c>
      <c r="N86" s="28">
        <f>SUMIF(Transactions!$K$19:$K$46,'Percentage Calc'!$E86,Transactions!M$19:M$46)</f>
        <v>0</v>
      </c>
      <c r="O86" s="28">
        <f>SUMIF(Transactions!$K$19:$K$46,'Percentage Calc'!$E86,Transactions!N$19:N$46)</f>
        <v>0</v>
      </c>
      <c r="P86" s="28">
        <f>SUMIF(Transactions!$K$19:$K$46,'Percentage Calc'!$E86,Transactions!O$19:O$46)</f>
        <v>0</v>
      </c>
      <c r="Q86" s="28">
        <f>SUMIF(Transactions!$K$19:$K$46,'Percentage Calc'!$E86,Transactions!P$19:P$46)</f>
        <v>0</v>
      </c>
      <c r="R86" s="28">
        <f t="shared" si="7"/>
        <v>0</v>
      </c>
      <c r="S86" s="28">
        <f t="shared" si="8"/>
        <v>0</v>
      </c>
    </row>
    <row r="87" spans="1:19" x14ac:dyDescent="0.35">
      <c r="A87" s="9"/>
      <c r="B87" s="32"/>
      <c r="C87" s="28">
        <f>IF(Check!$B$87=1,1,IF(R87&lt;1,0,1))</f>
        <v>1</v>
      </c>
      <c r="D87" s="28">
        <f t="shared" si="9"/>
        <v>1</v>
      </c>
      <c r="E87" s="32">
        <v>45911</v>
      </c>
      <c r="F87" s="28">
        <f>SUMIF(Transactions!$C$18:$C$46,'Percentage Calc'!$E87,Transactions!D$18:D$46)</f>
        <v>0</v>
      </c>
      <c r="G87" s="28">
        <f>SUMIF(Transactions!$C$18:$C$46,'Percentage Calc'!$E87,Transactions!E$18:E$46)</f>
        <v>0</v>
      </c>
      <c r="H87" s="28">
        <f>SUMIF(Transactions!$C$18:$C$46,'Percentage Calc'!$E87,Transactions!F$18:F$46)</f>
        <v>0</v>
      </c>
      <c r="I87" s="28">
        <f>SUMIF(Transactions!$C$18:$C$46,'Percentage Calc'!$E87,Transactions!G$18:G$46)</f>
        <v>0</v>
      </c>
      <c r="J87" s="28">
        <f t="shared" si="5"/>
        <v>0</v>
      </c>
      <c r="K87" s="28">
        <f t="shared" si="6"/>
        <v>0</v>
      </c>
      <c r="L87" s="32"/>
      <c r="M87" s="28">
        <f>SUMIF(Transactions!$K$19:$K$46,'Percentage Calc'!$E87,Transactions!L$19:L$46)</f>
        <v>0</v>
      </c>
      <c r="N87" s="28">
        <f>SUMIF(Transactions!$K$19:$K$46,'Percentage Calc'!$E87,Transactions!M$19:M$46)</f>
        <v>0</v>
      </c>
      <c r="O87" s="28">
        <f>SUMIF(Transactions!$K$19:$K$46,'Percentage Calc'!$E87,Transactions!N$19:N$46)</f>
        <v>0</v>
      </c>
      <c r="P87" s="28">
        <f>SUMIF(Transactions!$K$19:$K$46,'Percentage Calc'!$E87,Transactions!O$19:O$46)</f>
        <v>0</v>
      </c>
      <c r="Q87" s="28">
        <f>SUMIF(Transactions!$K$19:$K$46,'Percentage Calc'!$E87,Transactions!P$19:P$46)</f>
        <v>0</v>
      </c>
      <c r="R87" s="28">
        <f t="shared" si="7"/>
        <v>0</v>
      </c>
      <c r="S87" s="28">
        <f t="shared" si="8"/>
        <v>0</v>
      </c>
    </row>
    <row r="88" spans="1:19" x14ac:dyDescent="0.35">
      <c r="A88" s="9"/>
      <c r="B88" s="32"/>
      <c r="C88" s="28">
        <f>IF(Check!$B$87=1,1,IF(R88&lt;1,0,1))</f>
        <v>1</v>
      </c>
      <c r="D88" s="28">
        <f t="shared" si="9"/>
        <v>1</v>
      </c>
      <c r="E88" s="32">
        <v>45912</v>
      </c>
      <c r="F88" s="28">
        <f>SUMIF(Transactions!$C$18:$C$46,'Percentage Calc'!$E88,Transactions!D$18:D$46)</f>
        <v>0</v>
      </c>
      <c r="G88" s="28">
        <f>SUMIF(Transactions!$C$18:$C$46,'Percentage Calc'!$E88,Transactions!E$18:E$46)</f>
        <v>0</v>
      </c>
      <c r="H88" s="28">
        <f>SUMIF(Transactions!$C$18:$C$46,'Percentage Calc'!$E88,Transactions!F$18:F$46)</f>
        <v>0</v>
      </c>
      <c r="I88" s="28">
        <f>SUMIF(Transactions!$C$18:$C$46,'Percentage Calc'!$E88,Transactions!G$18:G$46)</f>
        <v>0</v>
      </c>
      <c r="J88" s="28">
        <f t="shared" si="5"/>
        <v>0</v>
      </c>
      <c r="K88" s="28">
        <f t="shared" si="6"/>
        <v>0</v>
      </c>
      <c r="L88" s="32"/>
      <c r="M88" s="28">
        <f>SUMIF(Transactions!$K$19:$K$46,'Percentage Calc'!$E88,Transactions!L$19:L$46)</f>
        <v>0</v>
      </c>
      <c r="N88" s="28">
        <f>SUMIF(Transactions!$K$19:$K$46,'Percentage Calc'!$E88,Transactions!M$19:M$46)</f>
        <v>0</v>
      </c>
      <c r="O88" s="28">
        <f>SUMIF(Transactions!$K$19:$K$46,'Percentage Calc'!$E88,Transactions!N$19:N$46)</f>
        <v>0</v>
      </c>
      <c r="P88" s="28">
        <f>SUMIF(Transactions!$K$19:$K$46,'Percentage Calc'!$E88,Transactions!O$19:O$46)</f>
        <v>0</v>
      </c>
      <c r="Q88" s="28">
        <f>SUMIF(Transactions!$K$19:$K$46,'Percentage Calc'!$E88,Transactions!P$19:P$46)</f>
        <v>0</v>
      </c>
      <c r="R88" s="28">
        <f t="shared" si="7"/>
        <v>0</v>
      </c>
      <c r="S88" s="28">
        <f t="shared" si="8"/>
        <v>0</v>
      </c>
    </row>
    <row r="89" spans="1:19" x14ac:dyDescent="0.35">
      <c r="A89" s="9"/>
      <c r="B89" s="32"/>
      <c r="C89" s="28">
        <f>IF(Check!$B$87=1,1,IF(R89&lt;1,0,1))</f>
        <v>1</v>
      </c>
      <c r="D89" s="28">
        <f t="shared" si="9"/>
        <v>1</v>
      </c>
      <c r="E89" s="32">
        <v>45913</v>
      </c>
      <c r="F89" s="28">
        <f>SUMIF(Transactions!$C$18:$C$46,'Percentage Calc'!$E89,Transactions!D$18:D$46)</f>
        <v>0</v>
      </c>
      <c r="G89" s="28">
        <f>SUMIF(Transactions!$C$18:$C$46,'Percentage Calc'!$E89,Transactions!E$18:E$46)</f>
        <v>0</v>
      </c>
      <c r="H89" s="28">
        <f>SUMIF(Transactions!$C$18:$C$46,'Percentage Calc'!$E89,Transactions!F$18:F$46)</f>
        <v>0</v>
      </c>
      <c r="I89" s="28">
        <f>SUMIF(Transactions!$C$18:$C$46,'Percentage Calc'!$E89,Transactions!G$18:G$46)</f>
        <v>0</v>
      </c>
      <c r="J89" s="28">
        <f t="shared" si="5"/>
        <v>0</v>
      </c>
      <c r="K89" s="28">
        <f t="shared" si="6"/>
        <v>0</v>
      </c>
      <c r="L89" s="32"/>
      <c r="M89" s="28">
        <f>SUMIF(Transactions!$K$19:$K$46,'Percentage Calc'!$E89,Transactions!L$19:L$46)</f>
        <v>0</v>
      </c>
      <c r="N89" s="28">
        <f>SUMIF(Transactions!$K$19:$K$46,'Percentage Calc'!$E89,Transactions!M$19:M$46)</f>
        <v>0</v>
      </c>
      <c r="O89" s="28">
        <f>SUMIF(Transactions!$K$19:$K$46,'Percentage Calc'!$E89,Transactions!N$19:N$46)</f>
        <v>0</v>
      </c>
      <c r="P89" s="28">
        <f>SUMIF(Transactions!$K$19:$K$46,'Percentage Calc'!$E89,Transactions!O$19:O$46)</f>
        <v>0</v>
      </c>
      <c r="Q89" s="28">
        <f>SUMIF(Transactions!$K$19:$K$46,'Percentage Calc'!$E89,Transactions!P$19:P$46)</f>
        <v>0</v>
      </c>
      <c r="R89" s="28">
        <f t="shared" si="7"/>
        <v>0</v>
      </c>
      <c r="S89" s="28">
        <f t="shared" si="8"/>
        <v>0</v>
      </c>
    </row>
    <row r="90" spans="1:19" x14ac:dyDescent="0.35">
      <c r="A90" s="9"/>
      <c r="B90" s="32"/>
      <c r="C90" s="28">
        <f>IF(Check!$B$87=1,1,IF(R90&lt;1,0,1))</f>
        <v>1</v>
      </c>
      <c r="D90" s="28">
        <f t="shared" si="9"/>
        <v>1</v>
      </c>
      <c r="E90" s="32">
        <v>45914</v>
      </c>
      <c r="F90" s="28">
        <f>SUMIF(Transactions!$C$18:$C$46,'Percentage Calc'!$E90,Transactions!D$18:D$46)</f>
        <v>0</v>
      </c>
      <c r="G90" s="28">
        <f>SUMIF(Transactions!$C$18:$C$46,'Percentage Calc'!$E90,Transactions!E$18:E$46)</f>
        <v>0</v>
      </c>
      <c r="H90" s="28">
        <f>SUMIF(Transactions!$C$18:$C$46,'Percentage Calc'!$E90,Transactions!F$18:F$46)</f>
        <v>0</v>
      </c>
      <c r="I90" s="28">
        <f>SUMIF(Transactions!$C$18:$C$46,'Percentage Calc'!$E90,Transactions!G$18:G$46)</f>
        <v>0</v>
      </c>
      <c r="J90" s="28">
        <f t="shared" si="5"/>
        <v>0</v>
      </c>
      <c r="K90" s="28">
        <f t="shared" si="6"/>
        <v>0</v>
      </c>
      <c r="L90" s="32"/>
      <c r="M90" s="28">
        <f>SUMIF(Transactions!$K$19:$K$46,'Percentage Calc'!$E90,Transactions!L$19:L$46)</f>
        <v>0</v>
      </c>
      <c r="N90" s="28">
        <f>SUMIF(Transactions!$K$19:$K$46,'Percentage Calc'!$E90,Transactions!M$19:M$46)</f>
        <v>0</v>
      </c>
      <c r="O90" s="28">
        <f>SUMIF(Transactions!$K$19:$K$46,'Percentage Calc'!$E90,Transactions!N$19:N$46)</f>
        <v>0</v>
      </c>
      <c r="P90" s="28">
        <f>SUMIF(Transactions!$K$19:$K$46,'Percentage Calc'!$E90,Transactions!O$19:O$46)</f>
        <v>0</v>
      </c>
      <c r="Q90" s="28">
        <f>SUMIF(Transactions!$K$19:$K$46,'Percentage Calc'!$E90,Transactions!P$19:P$46)</f>
        <v>0</v>
      </c>
      <c r="R90" s="28">
        <f t="shared" si="7"/>
        <v>0</v>
      </c>
      <c r="S90" s="28">
        <f t="shared" si="8"/>
        <v>0</v>
      </c>
    </row>
    <row r="91" spans="1:19" x14ac:dyDescent="0.35">
      <c r="A91" s="9"/>
      <c r="B91" s="32"/>
      <c r="C91" s="28">
        <f>IF(Check!$B$87=1,1,IF(R91&lt;1,0,1))</f>
        <v>1</v>
      </c>
      <c r="D91" s="28">
        <f t="shared" si="9"/>
        <v>1</v>
      </c>
      <c r="E91" s="32">
        <v>45915</v>
      </c>
      <c r="F91" s="28">
        <f>SUMIF(Transactions!$C$18:$C$46,'Percentage Calc'!$E91,Transactions!D$18:D$46)</f>
        <v>0</v>
      </c>
      <c r="G91" s="28">
        <f>SUMIF(Transactions!$C$18:$C$46,'Percentage Calc'!$E91,Transactions!E$18:E$46)</f>
        <v>0</v>
      </c>
      <c r="H91" s="28">
        <f>SUMIF(Transactions!$C$18:$C$46,'Percentage Calc'!$E91,Transactions!F$18:F$46)</f>
        <v>0</v>
      </c>
      <c r="I91" s="28">
        <f>SUMIF(Transactions!$C$18:$C$46,'Percentage Calc'!$E91,Transactions!G$18:G$46)</f>
        <v>0</v>
      </c>
      <c r="J91" s="28">
        <f t="shared" si="5"/>
        <v>0</v>
      </c>
      <c r="K91" s="28">
        <f t="shared" si="6"/>
        <v>0</v>
      </c>
      <c r="L91" s="32"/>
      <c r="M91" s="28">
        <f>SUMIF(Transactions!$K$19:$K$46,'Percentage Calc'!$E91,Transactions!L$19:L$46)</f>
        <v>0</v>
      </c>
      <c r="N91" s="28">
        <f>SUMIF(Transactions!$K$19:$K$46,'Percentage Calc'!$E91,Transactions!M$19:M$46)</f>
        <v>0</v>
      </c>
      <c r="O91" s="28">
        <f>SUMIF(Transactions!$K$19:$K$46,'Percentage Calc'!$E91,Transactions!N$19:N$46)</f>
        <v>0</v>
      </c>
      <c r="P91" s="28">
        <f>SUMIF(Transactions!$K$19:$K$46,'Percentage Calc'!$E91,Transactions!O$19:O$46)</f>
        <v>0</v>
      </c>
      <c r="Q91" s="28">
        <f>SUMIF(Transactions!$K$19:$K$46,'Percentage Calc'!$E91,Transactions!P$19:P$46)</f>
        <v>0</v>
      </c>
      <c r="R91" s="28">
        <f t="shared" si="7"/>
        <v>0</v>
      </c>
      <c r="S91" s="28">
        <f t="shared" si="8"/>
        <v>0</v>
      </c>
    </row>
    <row r="92" spans="1:19" x14ac:dyDescent="0.35">
      <c r="A92" s="9"/>
      <c r="B92" s="32"/>
      <c r="C92" s="28">
        <f>IF(Check!$B$87=1,1,IF(R92&lt;1,0,1))</f>
        <v>1</v>
      </c>
      <c r="D92" s="28">
        <f t="shared" si="9"/>
        <v>1</v>
      </c>
      <c r="E92" s="32">
        <v>45916</v>
      </c>
      <c r="F92" s="28">
        <f>SUMIF(Transactions!$C$18:$C$46,'Percentage Calc'!$E92,Transactions!D$18:D$46)</f>
        <v>0</v>
      </c>
      <c r="G92" s="28">
        <f>SUMIF(Transactions!$C$18:$C$46,'Percentage Calc'!$E92,Transactions!E$18:E$46)</f>
        <v>0</v>
      </c>
      <c r="H92" s="28">
        <f>SUMIF(Transactions!$C$18:$C$46,'Percentage Calc'!$E92,Transactions!F$18:F$46)</f>
        <v>0</v>
      </c>
      <c r="I92" s="28">
        <f>SUMIF(Transactions!$C$18:$C$46,'Percentage Calc'!$E92,Transactions!G$18:G$46)</f>
        <v>0</v>
      </c>
      <c r="J92" s="28">
        <f t="shared" si="5"/>
        <v>0</v>
      </c>
      <c r="K92" s="28">
        <f t="shared" si="6"/>
        <v>0</v>
      </c>
      <c r="L92" s="32"/>
      <c r="M92" s="28">
        <f>SUMIF(Transactions!$K$19:$K$46,'Percentage Calc'!$E92,Transactions!L$19:L$46)</f>
        <v>0</v>
      </c>
      <c r="N92" s="28">
        <f>SUMIF(Transactions!$K$19:$K$46,'Percentage Calc'!$E92,Transactions!M$19:M$46)</f>
        <v>0</v>
      </c>
      <c r="O92" s="28">
        <f>SUMIF(Transactions!$K$19:$K$46,'Percentage Calc'!$E92,Transactions!N$19:N$46)</f>
        <v>0</v>
      </c>
      <c r="P92" s="28">
        <f>SUMIF(Transactions!$K$19:$K$46,'Percentage Calc'!$E92,Transactions!O$19:O$46)</f>
        <v>0</v>
      </c>
      <c r="Q92" s="28">
        <f>SUMIF(Transactions!$K$19:$K$46,'Percentage Calc'!$E92,Transactions!P$19:P$46)</f>
        <v>0</v>
      </c>
      <c r="R92" s="28">
        <f t="shared" si="7"/>
        <v>0</v>
      </c>
      <c r="S92" s="28">
        <f t="shared" si="8"/>
        <v>0</v>
      </c>
    </row>
    <row r="93" spans="1:19" x14ac:dyDescent="0.35">
      <c r="A93" s="9"/>
      <c r="B93" s="32"/>
      <c r="C93" s="28">
        <f>IF(Check!$B$87=1,1,IF(R93&lt;1,0,1))</f>
        <v>1</v>
      </c>
      <c r="D93" s="28">
        <f t="shared" si="9"/>
        <v>1</v>
      </c>
      <c r="E93" s="32">
        <v>45917</v>
      </c>
      <c r="F93" s="28">
        <f>SUMIF(Transactions!$C$18:$C$46,'Percentage Calc'!$E93,Transactions!D$18:D$46)</f>
        <v>0</v>
      </c>
      <c r="G93" s="28">
        <f>SUMIF(Transactions!$C$18:$C$46,'Percentage Calc'!$E93,Transactions!E$18:E$46)</f>
        <v>0</v>
      </c>
      <c r="H93" s="28">
        <f>SUMIF(Transactions!$C$18:$C$46,'Percentage Calc'!$E93,Transactions!F$18:F$46)</f>
        <v>0</v>
      </c>
      <c r="I93" s="28">
        <f>SUMIF(Transactions!$C$18:$C$46,'Percentage Calc'!$E93,Transactions!G$18:G$46)</f>
        <v>0</v>
      </c>
      <c r="J93" s="28">
        <f t="shared" si="5"/>
        <v>0</v>
      </c>
      <c r="K93" s="28">
        <f t="shared" si="6"/>
        <v>0</v>
      </c>
      <c r="L93" s="32"/>
      <c r="M93" s="28">
        <f>SUMIF(Transactions!$K$19:$K$46,'Percentage Calc'!$E93,Transactions!L$19:L$46)</f>
        <v>0</v>
      </c>
      <c r="N93" s="28">
        <f>SUMIF(Transactions!$K$19:$K$46,'Percentage Calc'!$E93,Transactions!M$19:M$46)</f>
        <v>0</v>
      </c>
      <c r="O93" s="28">
        <f>SUMIF(Transactions!$K$19:$K$46,'Percentage Calc'!$E93,Transactions!N$19:N$46)</f>
        <v>0</v>
      </c>
      <c r="P93" s="28">
        <f>SUMIF(Transactions!$K$19:$K$46,'Percentage Calc'!$E93,Transactions!O$19:O$46)</f>
        <v>0</v>
      </c>
      <c r="Q93" s="28">
        <f>SUMIF(Transactions!$K$19:$K$46,'Percentage Calc'!$E93,Transactions!P$19:P$46)</f>
        <v>0</v>
      </c>
      <c r="R93" s="28">
        <f t="shared" si="7"/>
        <v>0</v>
      </c>
      <c r="S93" s="28">
        <f t="shared" si="8"/>
        <v>0</v>
      </c>
    </row>
    <row r="94" spans="1:19" x14ac:dyDescent="0.35">
      <c r="A94" s="9"/>
      <c r="B94" s="32"/>
      <c r="C94" s="28">
        <f>IF(Check!$B$87=1,1,IF(R94&lt;1,0,1))</f>
        <v>1</v>
      </c>
      <c r="D94" s="28">
        <f t="shared" si="9"/>
        <v>1</v>
      </c>
      <c r="E94" s="32">
        <v>45918</v>
      </c>
      <c r="F94" s="28">
        <f>SUMIF(Transactions!$C$18:$C$46,'Percentage Calc'!$E94,Transactions!D$18:D$46)</f>
        <v>0</v>
      </c>
      <c r="G94" s="28">
        <f>SUMIF(Transactions!$C$18:$C$46,'Percentage Calc'!$E94,Transactions!E$18:E$46)</f>
        <v>0</v>
      </c>
      <c r="H94" s="28">
        <f>SUMIF(Transactions!$C$18:$C$46,'Percentage Calc'!$E94,Transactions!F$18:F$46)</f>
        <v>0</v>
      </c>
      <c r="I94" s="28">
        <f>SUMIF(Transactions!$C$18:$C$46,'Percentage Calc'!$E94,Transactions!G$18:G$46)</f>
        <v>0</v>
      </c>
      <c r="J94" s="28">
        <f t="shared" si="5"/>
        <v>0</v>
      </c>
      <c r="K94" s="28">
        <f t="shared" si="6"/>
        <v>0</v>
      </c>
      <c r="L94" s="32"/>
      <c r="M94" s="28">
        <f>SUMIF(Transactions!$K$19:$K$46,'Percentage Calc'!$E94,Transactions!L$19:L$46)</f>
        <v>0</v>
      </c>
      <c r="N94" s="28">
        <f>SUMIF(Transactions!$K$19:$K$46,'Percentage Calc'!$E94,Transactions!M$19:M$46)</f>
        <v>0</v>
      </c>
      <c r="O94" s="28">
        <f>SUMIF(Transactions!$K$19:$K$46,'Percentage Calc'!$E94,Transactions!N$19:N$46)</f>
        <v>0</v>
      </c>
      <c r="P94" s="28">
        <f>SUMIF(Transactions!$K$19:$K$46,'Percentage Calc'!$E94,Transactions!O$19:O$46)</f>
        <v>0</v>
      </c>
      <c r="Q94" s="28">
        <f>SUMIF(Transactions!$K$19:$K$46,'Percentage Calc'!$E94,Transactions!P$19:P$46)</f>
        <v>0</v>
      </c>
      <c r="R94" s="28">
        <f t="shared" si="7"/>
        <v>0</v>
      </c>
      <c r="S94" s="28">
        <f t="shared" si="8"/>
        <v>0</v>
      </c>
    </row>
    <row r="95" spans="1:19" x14ac:dyDescent="0.35">
      <c r="A95" s="9"/>
      <c r="B95" s="32"/>
      <c r="C95" s="28">
        <f>IF(Check!$B$87=1,1,IF(R95&lt;1,0,1))</f>
        <v>1</v>
      </c>
      <c r="D95" s="28">
        <f t="shared" si="9"/>
        <v>1</v>
      </c>
      <c r="E95" s="32">
        <v>45919</v>
      </c>
      <c r="F95" s="28">
        <f>SUMIF(Transactions!$C$18:$C$46,'Percentage Calc'!$E95,Transactions!D$18:D$46)</f>
        <v>0</v>
      </c>
      <c r="G95" s="28">
        <f>SUMIF(Transactions!$C$18:$C$46,'Percentage Calc'!$E95,Transactions!E$18:E$46)</f>
        <v>0</v>
      </c>
      <c r="H95" s="28">
        <f>SUMIF(Transactions!$C$18:$C$46,'Percentage Calc'!$E95,Transactions!F$18:F$46)</f>
        <v>0</v>
      </c>
      <c r="I95" s="28">
        <f>SUMIF(Transactions!$C$18:$C$46,'Percentage Calc'!$E95,Transactions!G$18:G$46)</f>
        <v>0</v>
      </c>
      <c r="J95" s="28">
        <f t="shared" si="5"/>
        <v>0</v>
      </c>
      <c r="K95" s="28">
        <f t="shared" si="6"/>
        <v>0</v>
      </c>
      <c r="L95" s="32"/>
      <c r="M95" s="28">
        <f>SUMIF(Transactions!$K$19:$K$46,'Percentage Calc'!$E95,Transactions!L$19:L$46)</f>
        <v>0</v>
      </c>
      <c r="N95" s="28">
        <f>SUMIF(Transactions!$K$19:$K$46,'Percentage Calc'!$E95,Transactions!M$19:M$46)</f>
        <v>0</v>
      </c>
      <c r="O95" s="28">
        <f>SUMIF(Transactions!$K$19:$K$46,'Percentage Calc'!$E95,Transactions!N$19:N$46)</f>
        <v>0</v>
      </c>
      <c r="P95" s="28">
        <f>SUMIF(Transactions!$K$19:$K$46,'Percentage Calc'!$E95,Transactions!O$19:O$46)</f>
        <v>0</v>
      </c>
      <c r="Q95" s="28">
        <f>SUMIF(Transactions!$K$19:$K$46,'Percentage Calc'!$E95,Transactions!P$19:P$46)</f>
        <v>0</v>
      </c>
      <c r="R95" s="28">
        <f t="shared" si="7"/>
        <v>0</v>
      </c>
      <c r="S95" s="28">
        <f t="shared" si="8"/>
        <v>0</v>
      </c>
    </row>
    <row r="96" spans="1:19" x14ac:dyDescent="0.35">
      <c r="A96" s="9"/>
      <c r="B96" s="32"/>
      <c r="C96" s="28">
        <f>IF(Check!$B$87=1,1,IF(R96&lt;1,0,1))</f>
        <v>1</v>
      </c>
      <c r="D96" s="28">
        <f t="shared" si="9"/>
        <v>1</v>
      </c>
      <c r="E96" s="32">
        <v>45920</v>
      </c>
      <c r="F96" s="28">
        <f>SUMIF(Transactions!$C$18:$C$46,'Percentage Calc'!$E96,Transactions!D$18:D$46)</f>
        <v>0</v>
      </c>
      <c r="G96" s="28">
        <f>SUMIF(Transactions!$C$18:$C$46,'Percentage Calc'!$E96,Transactions!E$18:E$46)</f>
        <v>0</v>
      </c>
      <c r="H96" s="28">
        <f>SUMIF(Transactions!$C$18:$C$46,'Percentage Calc'!$E96,Transactions!F$18:F$46)</f>
        <v>0</v>
      </c>
      <c r="I96" s="28">
        <f>SUMIF(Transactions!$C$18:$C$46,'Percentage Calc'!$E96,Transactions!G$18:G$46)</f>
        <v>0</v>
      </c>
      <c r="J96" s="28">
        <f t="shared" si="5"/>
        <v>0</v>
      </c>
      <c r="K96" s="28">
        <f t="shared" si="6"/>
        <v>0</v>
      </c>
      <c r="L96" s="32"/>
      <c r="M96" s="28">
        <f>SUMIF(Transactions!$K$19:$K$46,'Percentage Calc'!$E96,Transactions!L$19:L$46)</f>
        <v>0</v>
      </c>
      <c r="N96" s="28">
        <f>SUMIF(Transactions!$K$19:$K$46,'Percentage Calc'!$E96,Transactions!M$19:M$46)</f>
        <v>0</v>
      </c>
      <c r="O96" s="28">
        <f>SUMIF(Transactions!$K$19:$K$46,'Percentage Calc'!$E96,Transactions!N$19:N$46)</f>
        <v>0</v>
      </c>
      <c r="P96" s="28">
        <f>SUMIF(Transactions!$K$19:$K$46,'Percentage Calc'!$E96,Transactions!O$19:O$46)</f>
        <v>0</v>
      </c>
      <c r="Q96" s="28">
        <f>SUMIF(Transactions!$K$19:$K$46,'Percentage Calc'!$E96,Transactions!P$19:P$46)</f>
        <v>0</v>
      </c>
      <c r="R96" s="28">
        <f t="shared" si="7"/>
        <v>0</v>
      </c>
      <c r="S96" s="28">
        <f t="shared" si="8"/>
        <v>0</v>
      </c>
    </row>
    <row r="97" spans="1:19" x14ac:dyDescent="0.35">
      <c r="A97" s="9"/>
      <c r="B97" s="32"/>
      <c r="C97" s="28">
        <f>IF(Check!$B$87=1,1,IF(R97&lt;1,0,1))</f>
        <v>1</v>
      </c>
      <c r="D97" s="28">
        <f t="shared" si="9"/>
        <v>1</v>
      </c>
      <c r="E97" s="32">
        <v>45921</v>
      </c>
      <c r="F97" s="28">
        <f>SUMIF(Transactions!$C$18:$C$46,'Percentage Calc'!$E97,Transactions!D$18:D$46)</f>
        <v>0</v>
      </c>
      <c r="G97" s="28">
        <f>SUMIF(Transactions!$C$18:$C$46,'Percentage Calc'!$E97,Transactions!E$18:E$46)</f>
        <v>0</v>
      </c>
      <c r="H97" s="28">
        <f>SUMIF(Transactions!$C$18:$C$46,'Percentage Calc'!$E97,Transactions!F$18:F$46)</f>
        <v>0</v>
      </c>
      <c r="I97" s="28">
        <f>SUMIF(Transactions!$C$18:$C$46,'Percentage Calc'!$E97,Transactions!G$18:G$46)</f>
        <v>0</v>
      </c>
      <c r="J97" s="28">
        <f t="shared" si="5"/>
        <v>0</v>
      </c>
      <c r="K97" s="28">
        <f t="shared" si="6"/>
        <v>0</v>
      </c>
      <c r="L97" s="32"/>
      <c r="M97" s="28">
        <f>SUMIF(Transactions!$K$19:$K$46,'Percentage Calc'!$E97,Transactions!L$19:L$46)</f>
        <v>0</v>
      </c>
      <c r="N97" s="28">
        <f>SUMIF(Transactions!$K$19:$K$46,'Percentage Calc'!$E97,Transactions!M$19:M$46)</f>
        <v>0</v>
      </c>
      <c r="O97" s="28">
        <f>SUMIF(Transactions!$K$19:$K$46,'Percentage Calc'!$E97,Transactions!N$19:N$46)</f>
        <v>0</v>
      </c>
      <c r="P97" s="28">
        <f>SUMIF(Transactions!$K$19:$K$46,'Percentage Calc'!$E97,Transactions!O$19:O$46)</f>
        <v>0</v>
      </c>
      <c r="Q97" s="28">
        <f>SUMIF(Transactions!$K$19:$K$46,'Percentage Calc'!$E97,Transactions!P$19:P$46)</f>
        <v>0</v>
      </c>
      <c r="R97" s="28">
        <f t="shared" si="7"/>
        <v>0</v>
      </c>
      <c r="S97" s="28">
        <f t="shared" si="8"/>
        <v>0</v>
      </c>
    </row>
    <row r="98" spans="1:19" x14ac:dyDescent="0.35">
      <c r="A98" s="9"/>
      <c r="B98" s="32"/>
      <c r="C98" s="28">
        <f>IF(Check!$B$87=1,1,IF(R98&lt;1,0,1))</f>
        <v>1</v>
      </c>
      <c r="D98" s="28">
        <f t="shared" si="9"/>
        <v>1</v>
      </c>
      <c r="E98" s="32">
        <v>45922</v>
      </c>
      <c r="F98" s="28">
        <f>SUMIF(Transactions!$C$18:$C$46,'Percentage Calc'!$E98,Transactions!D$18:D$46)</f>
        <v>0</v>
      </c>
      <c r="G98" s="28">
        <f>SUMIF(Transactions!$C$18:$C$46,'Percentage Calc'!$E98,Transactions!E$18:E$46)</f>
        <v>0</v>
      </c>
      <c r="H98" s="28">
        <f>SUMIF(Transactions!$C$18:$C$46,'Percentage Calc'!$E98,Transactions!F$18:F$46)</f>
        <v>0</v>
      </c>
      <c r="I98" s="28">
        <f>SUMIF(Transactions!$C$18:$C$46,'Percentage Calc'!$E98,Transactions!G$18:G$46)</f>
        <v>0</v>
      </c>
      <c r="J98" s="28">
        <f t="shared" si="5"/>
        <v>0</v>
      </c>
      <c r="K98" s="28">
        <f t="shared" si="6"/>
        <v>0</v>
      </c>
      <c r="L98" s="32"/>
      <c r="M98" s="28">
        <f>SUMIF(Transactions!$K$19:$K$46,'Percentage Calc'!$E98,Transactions!L$19:L$46)</f>
        <v>0</v>
      </c>
      <c r="N98" s="28">
        <f>SUMIF(Transactions!$K$19:$K$46,'Percentage Calc'!$E98,Transactions!M$19:M$46)</f>
        <v>0</v>
      </c>
      <c r="O98" s="28">
        <f>SUMIF(Transactions!$K$19:$K$46,'Percentage Calc'!$E98,Transactions!N$19:N$46)</f>
        <v>0</v>
      </c>
      <c r="P98" s="28">
        <f>SUMIF(Transactions!$K$19:$K$46,'Percentage Calc'!$E98,Transactions!O$19:O$46)</f>
        <v>0</v>
      </c>
      <c r="Q98" s="28">
        <f>SUMIF(Transactions!$K$19:$K$46,'Percentage Calc'!$E98,Transactions!P$19:P$46)</f>
        <v>0</v>
      </c>
      <c r="R98" s="28">
        <f t="shared" si="7"/>
        <v>0</v>
      </c>
      <c r="S98" s="28">
        <f t="shared" si="8"/>
        <v>0</v>
      </c>
    </row>
    <row r="99" spans="1:19" x14ac:dyDescent="0.35">
      <c r="A99" s="9"/>
      <c r="B99" s="32"/>
      <c r="C99" s="28">
        <f>IF(Check!$B$87=1,1,IF(R99&lt;1,0,1))</f>
        <v>1</v>
      </c>
      <c r="D99" s="28">
        <f t="shared" si="9"/>
        <v>1</v>
      </c>
      <c r="E99" s="32">
        <v>45923</v>
      </c>
      <c r="F99" s="28">
        <f>SUMIF(Transactions!$C$18:$C$46,'Percentage Calc'!$E99,Transactions!D$18:D$46)</f>
        <v>0</v>
      </c>
      <c r="G99" s="28">
        <f>SUMIF(Transactions!$C$18:$C$46,'Percentage Calc'!$E99,Transactions!E$18:E$46)</f>
        <v>0</v>
      </c>
      <c r="H99" s="28">
        <f>SUMIF(Transactions!$C$18:$C$46,'Percentage Calc'!$E99,Transactions!F$18:F$46)</f>
        <v>0</v>
      </c>
      <c r="I99" s="28">
        <f>SUMIF(Transactions!$C$18:$C$46,'Percentage Calc'!$E99,Transactions!G$18:G$46)</f>
        <v>0</v>
      </c>
      <c r="J99" s="28">
        <f t="shared" si="5"/>
        <v>0</v>
      </c>
      <c r="K99" s="28">
        <f t="shared" si="6"/>
        <v>0</v>
      </c>
      <c r="L99" s="32"/>
      <c r="M99" s="28">
        <f>SUMIF(Transactions!$K$19:$K$46,'Percentage Calc'!$E99,Transactions!L$19:L$46)</f>
        <v>0</v>
      </c>
      <c r="N99" s="28">
        <f>SUMIF(Transactions!$K$19:$K$46,'Percentage Calc'!$E99,Transactions!M$19:M$46)</f>
        <v>0</v>
      </c>
      <c r="O99" s="28">
        <f>SUMIF(Transactions!$K$19:$K$46,'Percentage Calc'!$E99,Transactions!N$19:N$46)</f>
        <v>0</v>
      </c>
      <c r="P99" s="28">
        <f>SUMIF(Transactions!$K$19:$K$46,'Percentage Calc'!$E99,Transactions!O$19:O$46)</f>
        <v>0</v>
      </c>
      <c r="Q99" s="28">
        <f>SUMIF(Transactions!$K$19:$K$46,'Percentage Calc'!$E99,Transactions!P$19:P$46)</f>
        <v>0</v>
      </c>
      <c r="R99" s="28">
        <f t="shared" si="7"/>
        <v>0</v>
      </c>
      <c r="S99" s="28">
        <f t="shared" si="8"/>
        <v>0</v>
      </c>
    </row>
    <row r="100" spans="1:19" x14ac:dyDescent="0.35">
      <c r="A100" s="9"/>
      <c r="B100" s="32"/>
      <c r="C100" s="28">
        <f>IF(Check!$B$87=1,1,IF(R100&lt;1,0,1))</f>
        <v>1</v>
      </c>
      <c r="D100" s="28">
        <f t="shared" si="9"/>
        <v>1</v>
      </c>
      <c r="E100" s="32">
        <v>45924</v>
      </c>
      <c r="F100" s="28">
        <f>SUMIF(Transactions!$C$18:$C$46,'Percentage Calc'!$E100,Transactions!D$18:D$46)</f>
        <v>0</v>
      </c>
      <c r="G100" s="28">
        <f>SUMIF(Transactions!$C$18:$C$46,'Percentage Calc'!$E100,Transactions!E$18:E$46)</f>
        <v>0</v>
      </c>
      <c r="H100" s="28">
        <f>SUMIF(Transactions!$C$18:$C$46,'Percentage Calc'!$E100,Transactions!F$18:F$46)</f>
        <v>0</v>
      </c>
      <c r="I100" s="28">
        <f>SUMIF(Transactions!$C$18:$C$46,'Percentage Calc'!$E100,Transactions!G$18:G$46)</f>
        <v>0</v>
      </c>
      <c r="J100" s="28">
        <f t="shared" si="5"/>
        <v>0</v>
      </c>
      <c r="K100" s="28">
        <f t="shared" si="6"/>
        <v>0</v>
      </c>
      <c r="L100" s="32"/>
      <c r="M100" s="28">
        <f>SUMIF(Transactions!$K$19:$K$46,'Percentage Calc'!$E100,Transactions!L$19:L$46)</f>
        <v>0</v>
      </c>
      <c r="N100" s="28">
        <f>SUMIF(Transactions!$K$19:$K$46,'Percentage Calc'!$E100,Transactions!M$19:M$46)</f>
        <v>0</v>
      </c>
      <c r="O100" s="28">
        <f>SUMIF(Transactions!$K$19:$K$46,'Percentage Calc'!$E100,Transactions!N$19:N$46)</f>
        <v>0</v>
      </c>
      <c r="P100" s="28">
        <f>SUMIF(Transactions!$K$19:$K$46,'Percentage Calc'!$E100,Transactions!O$19:O$46)</f>
        <v>0</v>
      </c>
      <c r="Q100" s="28">
        <f>SUMIF(Transactions!$K$19:$K$46,'Percentage Calc'!$E100,Transactions!P$19:P$46)</f>
        <v>0</v>
      </c>
      <c r="R100" s="28">
        <f t="shared" si="7"/>
        <v>0</v>
      </c>
      <c r="S100" s="28">
        <f t="shared" si="8"/>
        <v>0</v>
      </c>
    </row>
    <row r="101" spans="1:19" x14ac:dyDescent="0.35">
      <c r="A101" s="9"/>
      <c r="B101" s="32"/>
      <c r="C101" s="28">
        <f>IF(Check!$B$87=1,1,IF(R101&lt;1,0,1))</f>
        <v>1</v>
      </c>
      <c r="D101" s="28">
        <f t="shared" si="9"/>
        <v>1</v>
      </c>
      <c r="E101" s="32">
        <v>45925</v>
      </c>
      <c r="F101" s="28">
        <f>SUMIF(Transactions!$C$18:$C$46,'Percentage Calc'!$E101,Transactions!D$18:D$46)</f>
        <v>0</v>
      </c>
      <c r="G101" s="28">
        <f>SUMIF(Transactions!$C$18:$C$46,'Percentage Calc'!$E101,Transactions!E$18:E$46)</f>
        <v>0</v>
      </c>
      <c r="H101" s="28">
        <f>SUMIF(Transactions!$C$18:$C$46,'Percentage Calc'!$E101,Transactions!F$18:F$46)</f>
        <v>0</v>
      </c>
      <c r="I101" s="28">
        <f>SUMIF(Transactions!$C$18:$C$46,'Percentage Calc'!$E101,Transactions!G$18:G$46)</f>
        <v>0</v>
      </c>
      <c r="J101" s="28">
        <f t="shared" si="5"/>
        <v>0</v>
      </c>
      <c r="K101" s="28">
        <f t="shared" si="6"/>
        <v>0</v>
      </c>
      <c r="L101" s="32"/>
      <c r="M101" s="28">
        <f>SUMIF(Transactions!$K$19:$K$46,'Percentage Calc'!$E101,Transactions!L$19:L$46)</f>
        <v>0</v>
      </c>
      <c r="N101" s="28">
        <f>SUMIF(Transactions!$K$19:$K$46,'Percentage Calc'!$E101,Transactions!M$19:M$46)</f>
        <v>0</v>
      </c>
      <c r="O101" s="28">
        <f>SUMIF(Transactions!$K$19:$K$46,'Percentage Calc'!$E101,Transactions!N$19:N$46)</f>
        <v>0</v>
      </c>
      <c r="P101" s="28">
        <f>SUMIF(Transactions!$K$19:$K$46,'Percentage Calc'!$E101,Transactions!O$19:O$46)</f>
        <v>0</v>
      </c>
      <c r="Q101" s="28">
        <f>SUMIF(Transactions!$K$19:$K$46,'Percentage Calc'!$E101,Transactions!P$19:P$46)</f>
        <v>0</v>
      </c>
      <c r="R101" s="28">
        <f t="shared" si="7"/>
        <v>0</v>
      </c>
      <c r="S101" s="28">
        <f t="shared" si="8"/>
        <v>0</v>
      </c>
    </row>
    <row r="102" spans="1:19" x14ac:dyDescent="0.35">
      <c r="A102" s="9"/>
      <c r="B102" s="32"/>
      <c r="C102" s="28">
        <f>IF(Check!$B$87=1,1,IF(R102&lt;1,0,1))</f>
        <v>1</v>
      </c>
      <c r="D102" s="28">
        <f t="shared" si="9"/>
        <v>1</v>
      </c>
      <c r="E102" s="32">
        <v>45926</v>
      </c>
      <c r="F102" s="28">
        <f>SUMIF(Transactions!$C$18:$C$46,'Percentage Calc'!$E102,Transactions!D$18:D$46)</f>
        <v>0</v>
      </c>
      <c r="G102" s="28">
        <f>SUMIF(Transactions!$C$18:$C$46,'Percentage Calc'!$E102,Transactions!E$18:E$46)</f>
        <v>0</v>
      </c>
      <c r="H102" s="28">
        <f>SUMIF(Transactions!$C$18:$C$46,'Percentage Calc'!$E102,Transactions!F$18:F$46)</f>
        <v>0</v>
      </c>
      <c r="I102" s="28">
        <f>SUMIF(Transactions!$C$18:$C$46,'Percentage Calc'!$E102,Transactions!G$18:G$46)</f>
        <v>0</v>
      </c>
      <c r="J102" s="28">
        <f t="shared" si="5"/>
        <v>0</v>
      </c>
      <c r="K102" s="28">
        <f t="shared" si="6"/>
        <v>0</v>
      </c>
      <c r="L102" s="32"/>
      <c r="M102" s="28">
        <f>SUMIF(Transactions!$K$19:$K$46,'Percentage Calc'!$E102,Transactions!L$19:L$46)</f>
        <v>0</v>
      </c>
      <c r="N102" s="28">
        <f>SUMIF(Transactions!$K$19:$K$46,'Percentage Calc'!$E102,Transactions!M$19:M$46)</f>
        <v>0</v>
      </c>
      <c r="O102" s="28">
        <f>SUMIF(Transactions!$K$19:$K$46,'Percentage Calc'!$E102,Transactions!N$19:N$46)</f>
        <v>0</v>
      </c>
      <c r="P102" s="28">
        <f>SUMIF(Transactions!$K$19:$K$46,'Percentage Calc'!$E102,Transactions!O$19:O$46)</f>
        <v>0</v>
      </c>
      <c r="Q102" s="28">
        <f>SUMIF(Transactions!$K$19:$K$46,'Percentage Calc'!$E102,Transactions!P$19:P$46)</f>
        <v>0</v>
      </c>
      <c r="R102" s="28">
        <f t="shared" si="7"/>
        <v>0</v>
      </c>
      <c r="S102" s="28">
        <f t="shared" si="8"/>
        <v>0</v>
      </c>
    </row>
    <row r="103" spans="1:19" x14ac:dyDescent="0.35">
      <c r="A103" s="9"/>
      <c r="B103" s="32"/>
      <c r="C103" s="28">
        <f>IF(Check!$B$87=1,1,IF(R103&lt;1,0,1))</f>
        <v>1</v>
      </c>
      <c r="D103" s="28">
        <f t="shared" si="9"/>
        <v>1</v>
      </c>
      <c r="E103" s="32">
        <v>45927</v>
      </c>
      <c r="F103" s="28">
        <f>SUMIF(Transactions!$C$18:$C$46,'Percentage Calc'!$E103,Transactions!D$18:D$46)</f>
        <v>0</v>
      </c>
      <c r="G103" s="28">
        <f>SUMIF(Transactions!$C$18:$C$46,'Percentage Calc'!$E103,Transactions!E$18:E$46)</f>
        <v>0</v>
      </c>
      <c r="H103" s="28">
        <f>SUMIF(Transactions!$C$18:$C$46,'Percentage Calc'!$E103,Transactions!F$18:F$46)</f>
        <v>0</v>
      </c>
      <c r="I103" s="28">
        <f>SUMIF(Transactions!$C$18:$C$46,'Percentage Calc'!$E103,Transactions!G$18:G$46)</f>
        <v>0</v>
      </c>
      <c r="J103" s="28">
        <f t="shared" si="5"/>
        <v>0</v>
      </c>
      <c r="K103" s="28">
        <f t="shared" si="6"/>
        <v>0</v>
      </c>
      <c r="L103" s="32"/>
      <c r="M103" s="28">
        <f>SUMIF(Transactions!$K$19:$K$46,'Percentage Calc'!$E103,Transactions!L$19:L$46)</f>
        <v>0</v>
      </c>
      <c r="N103" s="28">
        <f>SUMIF(Transactions!$K$19:$K$46,'Percentage Calc'!$E103,Transactions!M$19:M$46)</f>
        <v>0</v>
      </c>
      <c r="O103" s="28">
        <f>SUMIF(Transactions!$K$19:$K$46,'Percentage Calc'!$E103,Transactions!N$19:N$46)</f>
        <v>0</v>
      </c>
      <c r="P103" s="28">
        <f>SUMIF(Transactions!$K$19:$K$46,'Percentage Calc'!$E103,Transactions!O$19:O$46)</f>
        <v>0</v>
      </c>
      <c r="Q103" s="28">
        <f>SUMIF(Transactions!$K$19:$K$46,'Percentage Calc'!$E103,Transactions!P$19:P$46)</f>
        <v>0</v>
      </c>
      <c r="R103" s="28">
        <f t="shared" si="7"/>
        <v>0</v>
      </c>
      <c r="S103" s="28">
        <f t="shared" si="8"/>
        <v>0</v>
      </c>
    </row>
    <row r="104" spans="1:19" x14ac:dyDescent="0.35">
      <c r="A104" s="9"/>
      <c r="B104" s="32"/>
      <c r="C104" s="28">
        <f>IF(Check!$B$87=1,1,IF(R104&lt;1,0,1))</f>
        <v>1</v>
      </c>
      <c r="D104" s="28">
        <f t="shared" si="9"/>
        <v>1</v>
      </c>
      <c r="E104" s="32">
        <v>45928</v>
      </c>
      <c r="F104" s="28">
        <f>SUMIF(Transactions!$C$18:$C$46,'Percentage Calc'!$E104,Transactions!D$18:D$46)</f>
        <v>0</v>
      </c>
      <c r="G104" s="28">
        <f>SUMIF(Transactions!$C$18:$C$46,'Percentage Calc'!$E104,Transactions!E$18:E$46)</f>
        <v>0</v>
      </c>
      <c r="H104" s="28">
        <f>SUMIF(Transactions!$C$18:$C$46,'Percentage Calc'!$E104,Transactions!F$18:F$46)</f>
        <v>0</v>
      </c>
      <c r="I104" s="28">
        <f>SUMIF(Transactions!$C$18:$C$46,'Percentage Calc'!$E104,Transactions!G$18:G$46)</f>
        <v>0</v>
      </c>
      <c r="J104" s="28">
        <f t="shared" si="5"/>
        <v>0</v>
      </c>
      <c r="K104" s="28">
        <f t="shared" si="6"/>
        <v>0</v>
      </c>
      <c r="L104" s="32"/>
      <c r="M104" s="28">
        <f>SUMIF(Transactions!$K$19:$K$46,'Percentage Calc'!$E104,Transactions!L$19:L$46)</f>
        <v>0</v>
      </c>
      <c r="N104" s="28">
        <f>SUMIF(Transactions!$K$19:$K$46,'Percentage Calc'!$E104,Transactions!M$19:M$46)</f>
        <v>0</v>
      </c>
      <c r="O104" s="28">
        <f>SUMIF(Transactions!$K$19:$K$46,'Percentage Calc'!$E104,Transactions!N$19:N$46)</f>
        <v>0</v>
      </c>
      <c r="P104" s="28">
        <f>SUMIF(Transactions!$K$19:$K$46,'Percentage Calc'!$E104,Transactions!O$19:O$46)</f>
        <v>0</v>
      </c>
      <c r="Q104" s="28">
        <f>SUMIF(Transactions!$K$19:$K$46,'Percentage Calc'!$E104,Transactions!P$19:P$46)</f>
        <v>0</v>
      </c>
      <c r="R104" s="28">
        <f t="shared" si="7"/>
        <v>0</v>
      </c>
      <c r="S104" s="28">
        <f t="shared" si="8"/>
        <v>0</v>
      </c>
    </row>
    <row r="105" spans="1:19" x14ac:dyDescent="0.35">
      <c r="A105" s="9"/>
      <c r="B105" s="32"/>
      <c r="C105" s="28">
        <f>IF(Check!$B$87=1,1,IF(R105&lt;1,0,1))</f>
        <v>1</v>
      </c>
      <c r="D105" s="28">
        <f t="shared" si="9"/>
        <v>1</v>
      </c>
      <c r="E105" s="32">
        <v>45929</v>
      </c>
      <c r="F105" s="28">
        <f>SUMIF(Transactions!$C$18:$C$46,'Percentage Calc'!$E105,Transactions!D$18:D$46)</f>
        <v>0</v>
      </c>
      <c r="G105" s="28">
        <f>SUMIF(Transactions!$C$18:$C$46,'Percentage Calc'!$E105,Transactions!E$18:E$46)</f>
        <v>0</v>
      </c>
      <c r="H105" s="28">
        <f>SUMIF(Transactions!$C$18:$C$46,'Percentage Calc'!$E105,Transactions!F$18:F$46)</f>
        <v>0</v>
      </c>
      <c r="I105" s="28">
        <f>SUMIF(Transactions!$C$18:$C$46,'Percentage Calc'!$E105,Transactions!G$18:G$46)</f>
        <v>0</v>
      </c>
      <c r="J105" s="28">
        <f t="shared" si="5"/>
        <v>0</v>
      </c>
      <c r="K105" s="28">
        <f t="shared" si="6"/>
        <v>0</v>
      </c>
      <c r="L105" s="32"/>
      <c r="M105" s="28">
        <f>SUMIF(Transactions!$K$19:$K$46,'Percentage Calc'!$E105,Transactions!L$19:L$46)</f>
        <v>0</v>
      </c>
      <c r="N105" s="28">
        <f>SUMIF(Transactions!$K$19:$K$46,'Percentage Calc'!$E105,Transactions!M$19:M$46)</f>
        <v>0</v>
      </c>
      <c r="O105" s="28">
        <f>SUMIF(Transactions!$K$19:$K$46,'Percentage Calc'!$E105,Transactions!N$19:N$46)</f>
        <v>0</v>
      </c>
      <c r="P105" s="28">
        <f>SUMIF(Transactions!$K$19:$K$46,'Percentage Calc'!$E105,Transactions!O$19:O$46)</f>
        <v>0</v>
      </c>
      <c r="Q105" s="28">
        <f>SUMIF(Transactions!$K$19:$K$46,'Percentage Calc'!$E105,Transactions!P$19:P$46)</f>
        <v>0</v>
      </c>
      <c r="R105" s="28">
        <f t="shared" si="7"/>
        <v>0</v>
      </c>
      <c r="S105" s="28">
        <f t="shared" si="8"/>
        <v>0</v>
      </c>
    </row>
    <row r="106" spans="1:19" x14ac:dyDescent="0.35">
      <c r="A106" s="9"/>
      <c r="B106" s="32"/>
      <c r="C106" s="28">
        <f>IF(Check!$B$87=1,1,IF(R106&lt;1,0,1))</f>
        <v>1</v>
      </c>
      <c r="D106" s="28">
        <f t="shared" si="9"/>
        <v>1</v>
      </c>
      <c r="E106" s="32">
        <v>45930</v>
      </c>
      <c r="F106" s="28">
        <f>SUMIF(Transactions!$C$18:$C$46,'Percentage Calc'!$E106,Transactions!D$18:D$46)</f>
        <v>0</v>
      </c>
      <c r="G106" s="28">
        <f>SUMIF(Transactions!$C$18:$C$46,'Percentage Calc'!$E106,Transactions!E$18:E$46)</f>
        <v>0</v>
      </c>
      <c r="H106" s="28">
        <f>SUMIF(Transactions!$C$18:$C$46,'Percentage Calc'!$E106,Transactions!F$18:F$46)</f>
        <v>0</v>
      </c>
      <c r="I106" s="28">
        <f>SUMIF(Transactions!$C$18:$C$46,'Percentage Calc'!$E106,Transactions!G$18:G$46)</f>
        <v>0</v>
      </c>
      <c r="J106" s="28">
        <f t="shared" si="5"/>
        <v>0</v>
      </c>
      <c r="K106" s="28">
        <f t="shared" si="6"/>
        <v>0</v>
      </c>
      <c r="L106" s="32"/>
      <c r="M106" s="28">
        <f>SUMIF(Transactions!$K$19:$K$46,'Percentage Calc'!$E106,Transactions!L$19:L$46)</f>
        <v>0</v>
      </c>
      <c r="N106" s="28">
        <f>SUMIF(Transactions!$K$19:$K$46,'Percentage Calc'!$E106,Transactions!M$19:M$46)</f>
        <v>0</v>
      </c>
      <c r="O106" s="28">
        <f>SUMIF(Transactions!$K$19:$K$46,'Percentage Calc'!$E106,Transactions!N$19:N$46)</f>
        <v>0</v>
      </c>
      <c r="P106" s="28">
        <f>SUMIF(Transactions!$K$19:$K$46,'Percentage Calc'!$E106,Transactions!O$19:O$46)</f>
        <v>0</v>
      </c>
      <c r="Q106" s="28">
        <f>SUMIF(Transactions!$K$19:$K$46,'Percentage Calc'!$E106,Transactions!P$19:P$46)</f>
        <v>0</v>
      </c>
      <c r="R106" s="28">
        <f t="shared" si="7"/>
        <v>0</v>
      </c>
      <c r="S106" s="28">
        <f t="shared" si="8"/>
        <v>0</v>
      </c>
    </row>
    <row r="107" spans="1:19" x14ac:dyDescent="0.35">
      <c r="A107" s="9"/>
      <c r="B107" s="32"/>
      <c r="C107" s="28">
        <f>IF(Check!$B$87=1,1,IF(R107&lt;1,0,1))</f>
        <v>1</v>
      </c>
      <c r="D107" s="28">
        <f t="shared" si="9"/>
        <v>1</v>
      </c>
      <c r="E107" s="32">
        <v>45931</v>
      </c>
      <c r="F107" s="28">
        <f>SUMIF(Transactions!$C$18:$C$46,'Percentage Calc'!$E107,Transactions!D$18:D$46)</f>
        <v>0</v>
      </c>
      <c r="G107" s="28">
        <f>SUMIF(Transactions!$C$18:$C$46,'Percentage Calc'!$E107,Transactions!E$18:E$46)</f>
        <v>0</v>
      </c>
      <c r="H107" s="28">
        <f>SUMIF(Transactions!$C$18:$C$46,'Percentage Calc'!$E107,Transactions!F$18:F$46)</f>
        <v>0</v>
      </c>
      <c r="I107" s="28">
        <f>SUMIF(Transactions!$C$18:$C$46,'Percentage Calc'!$E107,Transactions!G$18:G$46)</f>
        <v>0</v>
      </c>
      <c r="J107" s="28">
        <f t="shared" si="5"/>
        <v>0</v>
      </c>
      <c r="K107" s="28">
        <f t="shared" si="6"/>
        <v>0</v>
      </c>
      <c r="L107" s="32"/>
      <c r="M107" s="28">
        <f>SUMIF(Transactions!$K$19:$K$46,'Percentage Calc'!$E107,Transactions!L$19:L$46)</f>
        <v>0</v>
      </c>
      <c r="N107" s="28">
        <f>SUMIF(Transactions!$K$19:$K$46,'Percentage Calc'!$E107,Transactions!M$19:M$46)</f>
        <v>0</v>
      </c>
      <c r="O107" s="28">
        <f>SUMIF(Transactions!$K$19:$K$46,'Percentage Calc'!$E107,Transactions!N$19:N$46)</f>
        <v>0</v>
      </c>
      <c r="P107" s="28">
        <f>SUMIF(Transactions!$K$19:$K$46,'Percentage Calc'!$E107,Transactions!O$19:O$46)</f>
        <v>0</v>
      </c>
      <c r="Q107" s="28">
        <f>SUMIF(Transactions!$K$19:$K$46,'Percentage Calc'!$E107,Transactions!P$19:P$46)</f>
        <v>0</v>
      </c>
      <c r="R107" s="28">
        <f t="shared" si="7"/>
        <v>0</v>
      </c>
      <c r="S107" s="28">
        <f t="shared" si="8"/>
        <v>0</v>
      </c>
    </row>
    <row r="108" spans="1:19" x14ac:dyDescent="0.35">
      <c r="A108" s="9"/>
      <c r="B108" s="32"/>
      <c r="C108" s="28">
        <f>IF(Check!$B$87=1,1,IF(R108&lt;1,0,1))</f>
        <v>1</v>
      </c>
      <c r="D108" s="28">
        <f t="shared" si="9"/>
        <v>1</v>
      </c>
      <c r="E108" s="32">
        <v>45932</v>
      </c>
      <c r="F108" s="28">
        <f>SUMIF(Transactions!$C$18:$C$46,'Percentage Calc'!$E108,Transactions!D$18:D$46)</f>
        <v>0</v>
      </c>
      <c r="G108" s="28">
        <f>SUMIF(Transactions!$C$18:$C$46,'Percentage Calc'!$E108,Transactions!E$18:E$46)</f>
        <v>0</v>
      </c>
      <c r="H108" s="28">
        <f>SUMIF(Transactions!$C$18:$C$46,'Percentage Calc'!$E108,Transactions!F$18:F$46)</f>
        <v>0</v>
      </c>
      <c r="I108" s="28">
        <f>SUMIF(Transactions!$C$18:$C$46,'Percentage Calc'!$E108,Transactions!G$18:G$46)</f>
        <v>0</v>
      </c>
      <c r="J108" s="28">
        <f t="shared" si="5"/>
        <v>0</v>
      </c>
      <c r="K108" s="28">
        <f t="shared" si="6"/>
        <v>0</v>
      </c>
      <c r="L108" s="32"/>
      <c r="M108" s="28">
        <f>SUMIF(Transactions!$K$19:$K$46,'Percentage Calc'!$E108,Transactions!L$19:L$46)</f>
        <v>0</v>
      </c>
      <c r="N108" s="28">
        <f>SUMIF(Transactions!$K$19:$K$46,'Percentage Calc'!$E108,Transactions!M$19:M$46)</f>
        <v>0</v>
      </c>
      <c r="O108" s="28">
        <f>SUMIF(Transactions!$K$19:$K$46,'Percentage Calc'!$E108,Transactions!N$19:N$46)</f>
        <v>0</v>
      </c>
      <c r="P108" s="28">
        <f>SUMIF(Transactions!$K$19:$K$46,'Percentage Calc'!$E108,Transactions!O$19:O$46)</f>
        <v>0</v>
      </c>
      <c r="Q108" s="28">
        <f>SUMIF(Transactions!$K$19:$K$46,'Percentage Calc'!$E108,Transactions!P$19:P$46)</f>
        <v>0</v>
      </c>
      <c r="R108" s="28">
        <f t="shared" si="7"/>
        <v>0</v>
      </c>
      <c r="S108" s="28">
        <f t="shared" si="8"/>
        <v>0</v>
      </c>
    </row>
    <row r="109" spans="1:19" x14ac:dyDescent="0.35">
      <c r="A109" s="9"/>
      <c r="B109" s="32"/>
      <c r="C109" s="28">
        <f>IF(Check!$B$87=1,1,IF(R109&lt;1,0,1))</f>
        <v>1</v>
      </c>
      <c r="D109" s="28">
        <f t="shared" si="9"/>
        <v>1</v>
      </c>
      <c r="E109" s="32">
        <v>45933</v>
      </c>
      <c r="F109" s="28">
        <f>SUMIF(Transactions!$C$18:$C$46,'Percentage Calc'!$E109,Transactions!D$18:D$46)</f>
        <v>0</v>
      </c>
      <c r="G109" s="28">
        <f>SUMIF(Transactions!$C$18:$C$46,'Percentage Calc'!$E109,Transactions!E$18:E$46)</f>
        <v>0</v>
      </c>
      <c r="H109" s="28">
        <f>SUMIF(Transactions!$C$18:$C$46,'Percentage Calc'!$E109,Transactions!F$18:F$46)</f>
        <v>0</v>
      </c>
      <c r="I109" s="28">
        <f>SUMIF(Transactions!$C$18:$C$46,'Percentage Calc'!$E109,Transactions!G$18:G$46)</f>
        <v>0</v>
      </c>
      <c r="J109" s="28">
        <f t="shared" si="5"/>
        <v>0</v>
      </c>
      <c r="K109" s="28">
        <f t="shared" si="6"/>
        <v>0</v>
      </c>
      <c r="L109" s="32"/>
      <c r="M109" s="28">
        <f>SUMIF(Transactions!$K$19:$K$46,'Percentage Calc'!$E109,Transactions!L$19:L$46)</f>
        <v>0</v>
      </c>
      <c r="N109" s="28">
        <f>SUMIF(Transactions!$K$19:$K$46,'Percentage Calc'!$E109,Transactions!M$19:M$46)</f>
        <v>0</v>
      </c>
      <c r="O109" s="28">
        <f>SUMIF(Transactions!$K$19:$K$46,'Percentage Calc'!$E109,Transactions!N$19:N$46)</f>
        <v>0</v>
      </c>
      <c r="P109" s="28">
        <f>SUMIF(Transactions!$K$19:$K$46,'Percentage Calc'!$E109,Transactions!O$19:O$46)</f>
        <v>0</v>
      </c>
      <c r="Q109" s="28">
        <f>SUMIF(Transactions!$K$19:$K$46,'Percentage Calc'!$E109,Transactions!P$19:P$46)</f>
        <v>0</v>
      </c>
      <c r="R109" s="28">
        <f t="shared" si="7"/>
        <v>0</v>
      </c>
      <c r="S109" s="28">
        <f t="shared" si="8"/>
        <v>0</v>
      </c>
    </row>
    <row r="110" spans="1:19" x14ac:dyDescent="0.35">
      <c r="A110" s="9"/>
      <c r="B110" s="32"/>
      <c r="C110" s="28">
        <f>IF(Check!$B$87=1,1,IF(R110&lt;1,0,1))</f>
        <v>1</v>
      </c>
      <c r="D110" s="28">
        <f t="shared" si="9"/>
        <v>1</v>
      </c>
      <c r="E110" s="32">
        <v>45934</v>
      </c>
      <c r="F110" s="28">
        <f>SUMIF(Transactions!$C$18:$C$46,'Percentage Calc'!$E110,Transactions!D$18:D$46)</f>
        <v>0</v>
      </c>
      <c r="G110" s="28">
        <f>SUMIF(Transactions!$C$18:$C$46,'Percentage Calc'!$E110,Transactions!E$18:E$46)</f>
        <v>0</v>
      </c>
      <c r="H110" s="28">
        <f>SUMIF(Transactions!$C$18:$C$46,'Percentage Calc'!$E110,Transactions!F$18:F$46)</f>
        <v>0</v>
      </c>
      <c r="I110" s="28">
        <f>SUMIF(Transactions!$C$18:$C$46,'Percentage Calc'!$E110,Transactions!G$18:G$46)</f>
        <v>0</v>
      </c>
      <c r="J110" s="28">
        <f t="shared" si="5"/>
        <v>0</v>
      </c>
      <c r="K110" s="28">
        <f t="shared" si="6"/>
        <v>0</v>
      </c>
      <c r="L110" s="32"/>
      <c r="M110" s="28">
        <f>SUMIF(Transactions!$K$19:$K$46,'Percentage Calc'!$E110,Transactions!L$19:L$46)</f>
        <v>0</v>
      </c>
      <c r="N110" s="28">
        <f>SUMIF(Transactions!$K$19:$K$46,'Percentage Calc'!$E110,Transactions!M$19:M$46)</f>
        <v>0</v>
      </c>
      <c r="O110" s="28">
        <f>SUMIF(Transactions!$K$19:$K$46,'Percentage Calc'!$E110,Transactions!N$19:N$46)</f>
        <v>0</v>
      </c>
      <c r="P110" s="28">
        <f>SUMIF(Transactions!$K$19:$K$46,'Percentage Calc'!$E110,Transactions!O$19:O$46)</f>
        <v>0</v>
      </c>
      <c r="Q110" s="28">
        <f>SUMIF(Transactions!$K$19:$K$46,'Percentage Calc'!$E110,Transactions!P$19:P$46)</f>
        <v>0</v>
      </c>
      <c r="R110" s="28">
        <f t="shared" si="7"/>
        <v>0</v>
      </c>
      <c r="S110" s="28">
        <f t="shared" si="8"/>
        <v>0</v>
      </c>
    </row>
    <row r="111" spans="1:19" x14ac:dyDescent="0.35">
      <c r="A111" s="9"/>
      <c r="B111" s="32"/>
      <c r="C111" s="28">
        <f>IF(Check!$B$87=1,1,IF(R111&lt;1,0,1))</f>
        <v>1</v>
      </c>
      <c r="D111" s="28">
        <f t="shared" si="9"/>
        <v>1</v>
      </c>
      <c r="E111" s="32">
        <v>45935</v>
      </c>
      <c r="F111" s="28">
        <f>SUMIF(Transactions!$C$18:$C$46,'Percentage Calc'!$E111,Transactions!D$18:D$46)</f>
        <v>0</v>
      </c>
      <c r="G111" s="28">
        <f>SUMIF(Transactions!$C$18:$C$46,'Percentage Calc'!$E111,Transactions!E$18:E$46)</f>
        <v>0</v>
      </c>
      <c r="H111" s="28">
        <f>SUMIF(Transactions!$C$18:$C$46,'Percentage Calc'!$E111,Transactions!F$18:F$46)</f>
        <v>0</v>
      </c>
      <c r="I111" s="28">
        <f>SUMIF(Transactions!$C$18:$C$46,'Percentage Calc'!$E111,Transactions!G$18:G$46)</f>
        <v>0</v>
      </c>
      <c r="J111" s="28">
        <f t="shared" si="5"/>
        <v>0</v>
      </c>
      <c r="K111" s="28">
        <f t="shared" si="6"/>
        <v>0</v>
      </c>
      <c r="L111" s="32"/>
      <c r="M111" s="28">
        <f>SUMIF(Transactions!$K$19:$K$46,'Percentage Calc'!$E111,Transactions!L$19:L$46)</f>
        <v>0</v>
      </c>
      <c r="N111" s="28">
        <f>SUMIF(Transactions!$K$19:$K$46,'Percentage Calc'!$E111,Transactions!M$19:M$46)</f>
        <v>0</v>
      </c>
      <c r="O111" s="28">
        <f>SUMIF(Transactions!$K$19:$K$46,'Percentage Calc'!$E111,Transactions!N$19:N$46)</f>
        <v>0</v>
      </c>
      <c r="P111" s="28">
        <f>SUMIF(Transactions!$K$19:$K$46,'Percentage Calc'!$E111,Transactions!O$19:O$46)</f>
        <v>0</v>
      </c>
      <c r="Q111" s="28">
        <f>SUMIF(Transactions!$K$19:$K$46,'Percentage Calc'!$E111,Transactions!P$19:P$46)</f>
        <v>0</v>
      </c>
      <c r="R111" s="28">
        <f t="shared" si="7"/>
        <v>0</v>
      </c>
      <c r="S111" s="28">
        <f t="shared" si="8"/>
        <v>0</v>
      </c>
    </row>
    <row r="112" spans="1:19" x14ac:dyDescent="0.35">
      <c r="A112" s="9"/>
      <c r="B112" s="32"/>
      <c r="C112" s="28">
        <f>IF(Check!$B$87=1,1,IF(R112&lt;1,0,1))</f>
        <v>1</v>
      </c>
      <c r="D112" s="28">
        <f t="shared" si="9"/>
        <v>1</v>
      </c>
      <c r="E112" s="32">
        <v>45936</v>
      </c>
      <c r="F112" s="28">
        <f>SUMIF(Transactions!$C$18:$C$46,'Percentage Calc'!$E112,Transactions!D$18:D$46)</f>
        <v>0</v>
      </c>
      <c r="G112" s="28">
        <f>SUMIF(Transactions!$C$18:$C$46,'Percentage Calc'!$E112,Transactions!E$18:E$46)</f>
        <v>0</v>
      </c>
      <c r="H112" s="28">
        <f>SUMIF(Transactions!$C$18:$C$46,'Percentage Calc'!$E112,Transactions!F$18:F$46)</f>
        <v>0</v>
      </c>
      <c r="I112" s="28">
        <f>SUMIF(Transactions!$C$18:$C$46,'Percentage Calc'!$E112,Transactions!G$18:G$46)</f>
        <v>0</v>
      </c>
      <c r="J112" s="28">
        <f t="shared" si="5"/>
        <v>0</v>
      </c>
      <c r="K112" s="28">
        <f t="shared" si="6"/>
        <v>0</v>
      </c>
      <c r="L112" s="32"/>
      <c r="M112" s="28">
        <f>SUMIF(Transactions!$K$19:$K$46,'Percentage Calc'!$E112,Transactions!L$19:L$46)</f>
        <v>0</v>
      </c>
      <c r="N112" s="28">
        <f>SUMIF(Transactions!$K$19:$K$46,'Percentage Calc'!$E112,Transactions!M$19:M$46)</f>
        <v>0</v>
      </c>
      <c r="O112" s="28">
        <f>SUMIF(Transactions!$K$19:$K$46,'Percentage Calc'!$E112,Transactions!N$19:N$46)</f>
        <v>0</v>
      </c>
      <c r="P112" s="28">
        <f>SUMIF(Transactions!$K$19:$K$46,'Percentage Calc'!$E112,Transactions!O$19:O$46)</f>
        <v>0</v>
      </c>
      <c r="Q112" s="28">
        <f>SUMIF(Transactions!$K$19:$K$46,'Percentage Calc'!$E112,Transactions!P$19:P$46)</f>
        <v>0</v>
      </c>
      <c r="R112" s="28">
        <f t="shared" si="7"/>
        <v>0</v>
      </c>
      <c r="S112" s="28">
        <f t="shared" si="8"/>
        <v>0</v>
      </c>
    </row>
    <row r="113" spans="1:19" x14ac:dyDescent="0.35">
      <c r="A113" s="9"/>
      <c r="B113" s="32"/>
      <c r="C113" s="28">
        <f>IF(Check!$B$87=1,1,IF(R113&lt;1,0,1))</f>
        <v>1</v>
      </c>
      <c r="D113" s="28">
        <f t="shared" si="9"/>
        <v>1</v>
      </c>
      <c r="E113" s="32">
        <v>45937</v>
      </c>
      <c r="F113" s="28">
        <f>SUMIF(Transactions!$C$18:$C$46,'Percentage Calc'!$E113,Transactions!D$18:D$46)</f>
        <v>0</v>
      </c>
      <c r="G113" s="28">
        <f>SUMIF(Transactions!$C$18:$C$46,'Percentage Calc'!$E113,Transactions!E$18:E$46)</f>
        <v>0</v>
      </c>
      <c r="H113" s="28">
        <f>SUMIF(Transactions!$C$18:$C$46,'Percentage Calc'!$E113,Transactions!F$18:F$46)</f>
        <v>0</v>
      </c>
      <c r="I113" s="28">
        <f>SUMIF(Transactions!$C$18:$C$46,'Percentage Calc'!$E113,Transactions!G$18:G$46)</f>
        <v>0</v>
      </c>
      <c r="J113" s="28">
        <f t="shared" si="5"/>
        <v>0</v>
      </c>
      <c r="K113" s="28">
        <f t="shared" si="6"/>
        <v>0</v>
      </c>
      <c r="L113" s="32"/>
      <c r="M113" s="28">
        <f>SUMIF(Transactions!$K$19:$K$46,'Percentage Calc'!$E113,Transactions!L$19:L$46)</f>
        <v>0</v>
      </c>
      <c r="N113" s="28">
        <f>SUMIF(Transactions!$K$19:$K$46,'Percentage Calc'!$E113,Transactions!M$19:M$46)</f>
        <v>0</v>
      </c>
      <c r="O113" s="28">
        <f>SUMIF(Transactions!$K$19:$K$46,'Percentage Calc'!$E113,Transactions!N$19:N$46)</f>
        <v>0</v>
      </c>
      <c r="P113" s="28">
        <f>SUMIF(Transactions!$K$19:$K$46,'Percentage Calc'!$E113,Transactions!O$19:O$46)</f>
        <v>0</v>
      </c>
      <c r="Q113" s="28">
        <f>SUMIF(Transactions!$K$19:$K$46,'Percentage Calc'!$E113,Transactions!P$19:P$46)</f>
        <v>0</v>
      </c>
      <c r="R113" s="28">
        <f t="shared" si="7"/>
        <v>0</v>
      </c>
      <c r="S113" s="28">
        <f t="shared" si="8"/>
        <v>0</v>
      </c>
    </row>
    <row r="114" spans="1:19" x14ac:dyDescent="0.35">
      <c r="A114" s="9"/>
      <c r="B114" s="32"/>
      <c r="C114" s="28">
        <f>IF(Check!$B$87=1,1,IF(R114&lt;1,0,1))</f>
        <v>1</v>
      </c>
      <c r="D114" s="28">
        <f t="shared" si="9"/>
        <v>1</v>
      </c>
      <c r="E114" s="32">
        <v>45938</v>
      </c>
      <c r="F114" s="28">
        <f>SUMIF(Transactions!$C$18:$C$46,'Percentage Calc'!$E114,Transactions!D$18:D$46)</f>
        <v>0</v>
      </c>
      <c r="G114" s="28">
        <f>SUMIF(Transactions!$C$18:$C$46,'Percentage Calc'!$E114,Transactions!E$18:E$46)</f>
        <v>0</v>
      </c>
      <c r="H114" s="28">
        <f>SUMIF(Transactions!$C$18:$C$46,'Percentage Calc'!$E114,Transactions!F$18:F$46)</f>
        <v>0</v>
      </c>
      <c r="I114" s="28">
        <f>SUMIF(Transactions!$C$18:$C$46,'Percentage Calc'!$E114,Transactions!G$18:G$46)</f>
        <v>0</v>
      </c>
      <c r="J114" s="28">
        <f t="shared" si="5"/>
        <v>0</v>
      </c>
      <c r="K114" s="28">
        <f t="shared" si="6"/>
        <v>0</v>
      </c>
      <c r="L114" s="32"/>
      <c r="M114" s="28">
        <f>SUMIF(Transactions!$K$19:$K$46,'Percentage Calc'!$E114,Transactions!L$19:L$46)</f>
        <v>0</v>
      </c>
      <c r="N114" s="28">
        <f>SUMIF(Transactions!$K$19:$K$46,'Percentage Calc'!$E114,Transactions!M$19:M$46)</f>
        <v>0</v>
      </c>
      <c r="O114" s="28">
        <f>SUMIF(Transactions!$K$19:$K$46,'Percentage Calc'!$E114,Transactions!N$19:N$46)</f>
        <v>0</v>
      </c>
      <c r="P114" s="28">
        <f>SUMIF(Transactions!$K$19:$K$46,'Percentage Calc'!$E114,Transactions!O$19:O$46)</f>
        <v>0</v>
      </c>
      <c r="Q114" s="28">
        <f>SUMIF(Transactions!$K$19:$K$46,'Percentage Calc'!$E114,Transactions!P$19:P$46)</f>
        <v>0</v>
      </c>
      <c r="R114" s="28">
        <f t="shared" si="7"/>
        <v>0</v>
      </c>
      <c r="S114" s="28">
        <f t="shared" si="8"/>
        <v>0</v>
      </c>
    </row>
    <row r="115" spans="1:19" x14ac:dyDescent="0.35">
      <c r="A115" s="9"/>
      <c r="B115" s="32"/>
      <c r="C115" s="28">
        <f>IF(Check!$B$87=1,1,IF(R115&lt;1,0,1))</f>
        <v>1</v>
      </c>
      <c r="D115" s="28">
        <f t="shared" si="9"/>
        <v>1</v>
      </c>
      <c r="E115" s="32">
        <v>45939</v>
      </c>
      <c r="F115" s="28">
        <f>SUMIF(Transactions!$C$18:$C$46,'Percentage Calc'!$E115,Transactions!D$18:D$46)</f>
        <v>0</v>
      </c>
      <c r="G115" s="28">
        <f>SUMIF(Transactions!$C$18:$C$46,'Percentage Calc'!$E115,Transactions!E$18:E$46)</f>
        <v>0</v>
      </c>
      <c r="H115" s="28">
        <f>SUMIF(Transactions!$C$18:$C$46,'Percentage Calc'!$E115,Transactions!F$18:F$46)</f>
        <v>0</v>
      </c>
      <c r="I115" s="28">
        <f>SUMIF(Transactions!$C$18:$C$46,'Percentage Calc'!$E115,Transactions!G$18:G$46)</f>
        <v>0</v>
      </c>
      <c r="J115" s="28">
        <f t="shared" si="5"/>
        <v>0</v>
      </c>
      <c r="K115" s="28">
        <f t="shared" si="6"/>
        <v>0</v>
      </c>
      <c r="L115" s="32"/>
      <c r="M115" s="28">
        <f>SUMIF(Transactions!$K$19:$K$46,'Percentage Calc'!$E115,Transactions!L$19:L$46)</f>
        <v>0</v>
      </c>
      <c r="N115" s="28">
        <f>SUMIF(Transactions!$K$19:$K$46,'Percentage Calc'!$E115,Transactions!M$19:M$46)</f>
        <v>0</v>
      </c>
      <c r="O115" s="28">
        <f>SUMIF(Transactions!$K$19:$K$46,'Percentage Calc'!$E115,Transactions!N$19:N$46)</f>
        <v>0</v>
      </c>
      <c r="P115" s="28">
        <f>SUMIF(Transactions!$K$19:$K$46,'Percentage Calc'!$E115,Transactions!O$19:O$46)</f>
        <v>0</v>
      </c>
      <c r="Q115" s="28">
        <f>SUMIF(Transactions!$K$19:$K$46,'Percentage Calc'!$E115,Transactions!P$19:P$46)</f>
        <v>0</v>
      </c>
      <c r="R115" s="28">
        <f t="shared" si="7"/>
        <v>0</v>
      </c>
      <c r="S115" s="28">
        <f t="shared" si="8"/>
        <v>0</v>
      </c>
    </row>
    <row r="116" spans="1:19" x14ac:dyDescent="0.35">
      <c r="A116" s="9"/>
      <c r="B116" s="32"/>
      <c r="C116" s="28">
        <f>IF(Check!$B$87=1,1,IF(R116&lt;1,0,1))</f>
        <v>1</v>
      </c>
      <c r="D116" s="28">
        <f t="shared" si="9"/>
        <v>1</v>
      </c>
      <c r="E116" s="32">
        <v>45940</v>
      </c>
      <c r="F116" s="28">
        <f>SUMIF(Transactions!$C$18:$C$46,'Percentage Calc'!$E116,Transactions!D$18:D$46)</f>
        <v>0</v>
      </c>
      <c r="G116" s="28">
        <f>SUMIF(Transactions!$C$18:$C$46,'Percentage Calc'!$E116,Transactions!E$18:E$46)</f>
        <v>0</v>
      </c>
      <c r="H116" s="28">
        <f>SUMIF(Transactions!$C$18:$C$46,'Percentage Calc'!$E116,Transactions!F$18:F$46)</f>
        <v>0</v>
      </c>
      <c r="I116" s="28">
        <f>SUMIF(Transactions!$C$18:$C$46,'Percentage Calc'!$E116,Transactions!G$18:G$46)</f>
        <v>0</v>
      </c>
      <c r="J116" s="28">
        <f t="shared" si="5"/>
        <v>0</v>
      </c>
      <c r="K116" s="28">
        <f t="shared" si="6"/>
        <v>0</v>
      </c>
      <c r="L116" s="32"/>
      <c r="M116" s="28">
        <f>SUMIF(Transactions!$K$19:$K$46,'Percentage Calc'!$E116,Transactions!L$19:L$46)</f>
        <v>0</v>
      </c>
      <c r="N116" s="28">
        <f>SUMIF(Transactions!$K$19:$K$46,'Percentage Calc'!$E116,Transactions!M$19:M$46)</f>
        <v>0</v>
      </c>
      <c r="O116" s="28">
        <f>SUMIF(Transactions!$K$19:$K$46,'Percentage Calc'!$E116,Transactions!N$19:N$46)</f>
        <v>0</v>
      </c>
      <c r="P116" s="28">
        <f>SUMIF(Transactions!$K$19:$K$46,'Percentage Calc'!$E116,Transactions!O$19:O$46)</f>
        <v>0</v>
      </c>
      <c r="Q116" s="28">
        <f>SUMIF(Transactions!$K$19:$K$46,'Percentage Calc'!$E116,Transactions!P$19:P$46)</f>
        <v>0</v>
      </c>
      <c r="R116" s="28">
        <f t="shared" si="7"/>
        <v>0</v>
      </c>
      <c r="S116" s="28">
        <f t="shared" si="8"/>
        <v>0</v>
      </c>
    </row>
    <row r="117" spans="1:19" x14ac:dyDescent="0.35">
      <c r="A117" s="9"/>
      <c r="B117" s="32"/>
      <c r="C117" s="28">
        <f>IF(Check!$B$87=1,1,IF(R117&lt;1,0,1))</f>
        <v>1</v>
      </c>
      <c r="D117" s="28">
        <f t="shared" si="9"/>
        <v>1</v>
      </c>
      <c r="E117" s="32">
        <v>45941</v>
      </c>
      <c r="F117" s="28">
        <f>SUMIF(Transactions!$C$18:$C$46,'Percentage Calc'!$E117,Transactions!D$18:D$46)</f>
        <v>0</v>
      </c>
      <c r="G117" s="28">
        <f>SUMIF(Transactions!$C$18:$C$46,'Percentage Calc'!$E117,Transactions!E$18:E$46)</f>
        <v>0</v>
      </c>
      <c r="H117" s="28">
        <f>SUMIF(Transactions!$C$18:$C$46,'Percentage Calc'!$E117,Transactions!F$18:F$46)</f>
        <v>0</v>
      </c>
      <c r="I117" s="28">
        <f>SUMIF(Transactions!$C$18:$C$46,'Percentage Calc'!$E117,Transactions!G$18:G$46)</f>
        <v>0</v>
      </c>
      <c r="J117" s="28">
        <f t="shared" si="5"/>
        <v>0</v>
      </c>
      <c r="K117" s="28">
        <f t="shared" si="6"/>
        <v>0</v>
      </c>
      <c r="L117" s="32"/>
      <c r="M117" s="28">
        <f>SUMIF(Transactions!$K$19:$K$46,'Percentage Calc'!$E117,Transactions!L$19:L$46)</f>
        <v>0</v>
      </c>
      <c r="N117" s="28">
        <f>SUMIF(Transactions!$K$19:$K$46,'Percentage Calc'!$E117,Transactions!M$19:M$46)</f>
        <v>0</v>
      </c>
      <c r="O117" s="28">
        <f>SUMIF(Transactions!$K$19:$K$46,'Percentage Calc'!$E117,Transactions!N$19:N$46)</f>
        <v>0</v>
      </c>
      <c r="P117" s="28">
        <f>SUMIF(Transactions!$K$19:$K$46,'Percentage Calc'!$E117,Transactions!O$19:O$46)</f>
        <v>0</v>
      </c>
      <c r="Q117" s="28">
        <f>SUMIF(Transactions!$K$19:$K$46,'Percentage Calc'!$E117,Transactions!P$19:P$46)</f>
        <v>0</v>
      </c>
      <c r="R117" s="28">
        <f t="shared" si="7"/>
        <v>0</v>
      </c>
      <c r="S117" s="28">
        <f t="shared" si="8"/>
        <v>0</v>
      </c>
    </row>
    <row r="118" spans="1:19" x14ac:dyDescent="0.35">
      <c r="A118" s="9"/>
      <c r="B118" s="32"/>
      <c r="C118" s="28">
        <f>IF(Check!$B$87=1,1,IF(R118&lt;1,0,1))</f>
        <v>1</v>
      </c>
      <c r="D118" s="28">
        <f t="shared" si="9"/>
        <v>1</v>
      </c>
      <c r="E118" s="32">
        <v>45942</v>
      </c>
      <c r="F118" s="28">
        <f>SUMIF(Transactions!$C$18:$C$46,'Percentage Calc'!$E118,Transactions!D$18:D$46)</f>
        <v>0</v>
      </c>
      <c r="G118" s="28">
        <f>SUMIF(Transactions!$C$18:$C$46,'Percentage Calc'!$E118,Transactions!E$18:E$46)</f>
        <v>0</v>
      </c>
      <c r="H118" s="28">
        <f>SUMIF(Transactions!$C$18:$C$46,'Percentage Calc'!$E118,Transactions!F$18:F$46)</f>
        <v>0</v>
      </c>
      <c r="I118" s="28">
        <f>SUMIF(Transactions!$C$18:$C$46,'Percentage Calc'!$E118,Transactions!G$18:G$46)</f>
        <v>0</v>
      </c>
      <c r="J118" s="28">
        <f t="shared" si="5"/>
        <v>0</v>
      </c>
      <c r="K118" s="28">
        <f t="shared" si="6"/>
        <v>0</v>
      </c>
      <c r="L118" s="32"/>
      <c r="M118" s="28">
        <f>SUMIF(Transactions!$K$19:$K$46,'Percentage Calc'!$E118,Transactions!L$19:L$46)</f>
        <v>0</v>
      </c>
      <c r="N118" s="28">
        <f>SUMIF(Transactions!$K$19:$K$46,'Percentage Calc'!$E118,Transactions!M$19:M$46)</f>
        <v>0</v>
      </c>
      <c r="O118" s="28">
        <f>SUMIF(Transactions!$K$19:$K$46,'Percentage Calc'!$E118,Transactions!N$19:N$46)</f>
        <v>0</v>
      </c>
      <c r="P118" s="28">
        <f>SUMIF(Transactions!$K$19:$K$46,'Percentage Calc'!$E118,Transactions!O$19:O$46)</f>
        <v>0</v>
      </c>
      <c r="Q118" s="28">
        <f>SUMIF(Transactions!$K$19:$K$46,'Percentage Calc'!$E118,Transactions!P$19:P$46)</f>
        <v>0</v>
      </c>
      <c r="R118" s="28">
        <f t="shared" si="7"/>
        <v>0</v>
      </c>
      <c r="S118" s="28">
        <f t="shared" si="8"/>
        <v>0</v>
      </c>
    </row>
    <row r="119" spans="1:19" x14ac:dyDescent="0.35">
      <c r="A119" s="9"/>
      <c r="B119" s="32"/>
      <c r="C119" s="28">
        <f>IF(Check!$B$87=1,1,IF(R119&lt;1,0,1))</f>
        <v>1</v>
      </c>
      <c r="D119" s="28">
        <f t="shared" si="9"/>
        <v>1</v>
      </c>
      <c r="E119" s="32">
        <v>45943</v>
      </c>
      <c r="F119" s="28">
        <f>SUMIF(Transactions!$C$18:$C$46,'Percentage Calc'!$E119,Transactions!D$18:D$46)</f>
        <v>0</v>
      </c>
      <c r="G119" s="28">
        <f>SUMIF(Transactions!$C$18:$C$46,'Percentage Calc'!$E119,Transactions!E$18:E$46)</f>
        <v>0</v>
      </c>
      <c r="H119" s="28">
        <f>SUMIF(Transactions!$C$18:$C$46,'Percentage Calc'!$E119,Transactions!F$18:F$46)</f>
        <v>0</v>
      </c>
      <c r="I119" s="28">
        <f>SUMIF(Transactions!$C$18:$C$46,'Percentage Calc'!$E119,Transactions!G$18:G$46)</f>
        <v>0</v>
      </c>
      <c r="J119" s="28">
        <f t="shared" si="5"/>
        <v>0</v>
      </c>
      <c r="K119" s="28">
        <f t="shared" si="6"/>
        <v>0</v>
      </c>
      <c r="L119" s="32"/>
      <c r="M119" s="28">
        <f>SUMIF(Transactions!$K$19:$K$46,'Percentage Calc'!$E119,Transactions!L$19:L$46)</f>
        <v>0</v>
      </c>
      <c r="N119" s="28">
        <f>SUMIF(Transactions!$K$19:$K$46,'Percentage Calc'!$E119,Transactions!M$19:M$46)</f>
        <v>0</v>
      </c>
      <c r="O119" s="28">
        <f>SUMIF(Transactions!$K$19:$K$46,'Percentage Calc'!$E119,Transactions!N$19:N$46)</f>
        <v>0</v>
      </c>
      <c r="P119" s="28">
        <f>SUMIF(Transactions!$K$19:$K$46,'Percentage Calc'!$E119,Transactions!O$19:O$46)</f>
        <v>0</v>
      </c>
      <c r="Q119" s="28">
        <f>SUMIF(Transactions!$K$19:$K$46,'Percentage Calc'!$E119,Transactions!P$19:P$46)</f>
        <v>0</v>
      </c>
      <c r="R119" s="28">
        <f t="shared" si="7"/>
        <v>0</v>
      </c>
      <c r="S119" s="28">
        <f t="shared" si="8"/>
        <v>0</v>
      </c>
    </row>
    <row r="120" spans="1:19" x14ac:dyDescent="0.35">
      <c r="A120" s="9"/>
      <c r="B120" s="32"/>
      <c r="C120" s="28">
        <f>IF(Check!$B$87=1,1,IF(R120&lt;1,0,1))</f>
        <v>1</v>
      </c>
      <c r="D120" s="28">
        <f t="shared" si="9"/>
        <v>1</v>
      </c>
      <c r="E120" s="32">
        <v>45944</v>
      </c>
      <c r="F120" s="28">
        <f>SUMIF(Transactions!$C$18:$C$46,'Percentage Calc'!$E120,Transactions!D$18:D$46)</f>
        <v>0</v>
      </c>
      <c r="G120" s="28">
        <f>SUMIF(Transactions!$C$18:$C$46,'Percentage Calc'!$E120,Transactions!E$18:E$46)</f>
        <v>0</v>
      </c>
      <c r="H120" s="28">
        <f>SUMIF(Transactions!$C$18:$C$46,'Percentage Calc'!$E120,Transactions!F$18:F$46)</f>
        <v>0</v>
      </c>
      <c r="I120" s="28">
        <f>SUMIF(Transactions!$C$18:$C$46,'Percentage Calc'!$E120,Transactions!G$18:G$46)</f>
        <v>0</v>
      </c>
      <c r="J120" s="28">
        <f t="shared" si="5"/>
        <v>0</v>
      </c>
      <c r="K120" s="28">
        <f t="shared" si="6"/>
        <v>0</v>
      </c>
      <c r="L120" s="32"/>
      <c r="M120" s="28">
        <f>SUMIF(Transactions!$K$19:$K$46,'Percentage Calc'!$E120,Transactions!L$19:L$46)</f>
        <v>0</v>
      </c>
      <c r="N120" s="28">
        <f>SUMIF(Transactions!$K$19:$K$46,'Percentage Calc'!$E120,Transactions!M$19:M$46)</f>
        <v>0</v>
      </c>
      <c r="O120" s="28">
        <f>SUMIF(Transactions!$K$19:$K$46,'Percentage Calc'!$E120,Transactions!N$19:N$46)</f>
        <v>0</v>
      </c>
      <c r="P120" s="28">
        <f>SUMIF(Transactions!$K$19:$K$46,'Percentage Calc'!$E120,Transactions!O$19:O$46)</f>
        <v>0</v>
      </c>
      <c r="Q120" s="28">
        <f>SUMIF(Transactions!$K$19:$K$46,'Percentage Calc'!$E120,Transactions!P$19:P$46)</f>
        <v>0</v>
      </c>
      <c r="R120" s="28">
        <f t="shared" si="7"/>
        <v>0</v>
      </c>
      <c r="S120" s="28">
        <f t="shared" si="8"/>
        <v>0</v>
      </c>
    </row>
    <row r="121" spans="1:19" x14ac:dyDescent="0.35">
      <c r="A121" s="9"/>
      <c r="B121" s="32"/>
      <c r="C121" s="28">
        <f>IF(Check!$B$87=1,1,IF(R121&lt;1,0,1))</f>
        <v>1</v>
      </c>
      <c r="D121" s="28">
        <f t="shared" si="9"/>
        <v>1</v>
      </c>
      <c r="E121" s="32">
        <v>45945</v>
      </c>
      <c r="F121" s="28">
        <f>SUMIF(Transactions!$C$18:$C$46,'Percentage Calc'!$E121,Transactions!D$18:D$46)</f>
        <v>0</v>
      </c>
      <c r="G121" s="28">
        <f>SUMIF(Transactions!$C$18:$C$46,'Percentage Calc'!$E121,Transactions!E$18:E$46)</f>
        <v>0</v>
      </c>
      <c r="H121" s="28">
        <f>SUMIF(Transactions!$C$18:$C$46,'Percentage Calc'!$E121,Transactions!F$18:F$46)</f>
        <v>0</v>
      </c>
      <c r="I121" s="28">
        <f>SUMIF(Transactions!$C$18:$C$46,'Percentage Calc'!$E121,Transactions!G$18:G$46)</f>
        <v>0</v>
      </c>
      <c r="J121" s="28">
        <f t="shared" si="5"/>
        <v>0</v>
      </c>
      <c r="K121" s="28">
        <f t="shared" si="6"/>
        <v>0</v>
      </c>
      <c r="L121" s="32"/>
      <c r="M121" s="28">
        <f>SUMIF(Transactions!$K$19:$K$46,'Percentage Calc'!$E121,Transactions!L$19:L$46)</f>
        <v>0</v>
      </c>
      <c r="N121" s="28">
        <f>SUMIF(Transactions!$K$19:$K$46,'Percentage Calc'!$E121,Transactions!M$19:M$46)</f>
        <v>0</v>
      </c>
      <c r="O121" s="28">
        <f>SUMIF(Transactions!$K$19:$K$46,'Percentage Calc'!$E121,Transactions!N$19:N$46)</f>
        <v>0</v>
      </c>
      <c r="P121" s="28">
        <f>SUMIF(Transactions!$K$19:$K$46,'Percentage Calc'!$E121,Transactions!O$19:O$46)</f>
        <v>0</v>
      </c>
      <c r="Q121" s="28">
        <f>SUMIF(Transactions!$K$19:$K$46,'Percentage Calc'!$E121,Transactions!P$19:P$46)</f>
        <v>0</v>
      </c>
      <c r="R121" s="28">
        <f t="shared" si="7"/>
        <v>0</v>
      </c>
      <c r="S121" s="28">
        <f t="shared" si="8"/>
        <v>0</v>
      </c>
    </row>
    <row r="122" spans="1:19" x14ac:dyDescent="0.35">
      <c r="A122" s="9"/>
      <c r="B122" s="32"/>
      <c r="C122" s="28">
        <f>IF(Check!$B$87=1,1,IF(R122&lt;1,0,1))</f>
        <v>1</v>
      </c>
      <c r="D122" s="28">
        <f t="shared" si="9"/>
        <v>1</v>
      </c>
      <c r="E122" s="32">
        <v>45946</v>
      </c>
      <c r="F122" s="28">
        <f>SUMIF(Transactions!$C$18:$C$46,'Percentage Calc'!$E122,Transactions!D$18:D$46)</f>
        <v>0</v>
      </c>
      <c r="G122" s="28">
        <f>SUMIF(Transactions!$C$18:$C$46,'Percentage Calc'!$E122,Transactions!E$18:E$46)</f>
        <v>0</v>
      </c>
      <c r="H122" s="28">
        <f>SUMIF(Transactions!$C$18:$C$46,'Percentage Calc'!$E122,Transactions!F$18:F$46)</f>
        <v>0</v>
      </c>
      <c r="I122" s="28">
        <f>SUMIF(Transactions!$C$18:$C$46,'Percentage Calc'!$E122,Transactions!G$18:G$46)</f>
        <v>0</v>
      </c>
      <c r="J122" s="28">
        <f t="shared" si="5"/>
        <v>0</v>
      </c>
      <c r="K122" s="28">
        <f t="shared" si="6"/>
        <v>0</v>
      </c>
      <c r="L122" s="32"/>
      <c r="M122" s="28">
        <f>SUMIF(Transactions!$K$19:$K$46,'Percentage Calc'!$E122,Transactions!L$19:L$46)</f>
        <v>0</v>
      </c>
      <c r="N122" s="28">
        <f>SUMIF(Transactions!$K$19:$K$46,'Percentage Calc'!$E122,Transactions!M$19:M$46)</f>
        <v>0</v>
      </c>
      <c r="O122" s="28">
        <f>SUMIF(Transactions!$K$19:$K$46,'Percentage Calc'!$E122,Transactions!N$19:N$46)</f>
        <v>0</v>
      </c>
      <c r="P122" s="28">
        <f>SUMIF(Transactions!$K$19:$K$46,'Percentage Calc'!$E122,Transactions!O$19:O$46)</f>
        <v>0</v>
      </c>
      <c r="Q122" s="28">
        <f>SUMIF(Transactions!$K$19:$K$46,'Percentage Calc'!$E122,Transactions!P$19:P$46)</f>
        <v>0</v>
      </c>
      <c r="R122" s="28">
        <f t="shared" si="7"/>
        <v>0</v>
      </c>
      <c r="S122" s="28">
        <f t="shared" si="8"/>
        <v>0</v>
      </c>
    </row>
    <row r="123" spans="1:19" x14ac:dyDescent="0.35">
      <c r="A123" s="9"/>
      <c r="B123" s="32"/>
      <c r="C123" s="28">
        <f>IF(Check!$B$87=1,1,IF(R123&lt;1,0,1))</f>
        <v>1</v>
      </c>
      <c r="D123" s="28">
        <f t="shared" si="9"/>
        <v>1</v>
      </c>
      <c r="E123" s="32">
        <v>45947</v>
      </c>
      <c r="F123" s="28">
        <f>SUMIF(Transactions!$C$18:$C$46,'Percentage Calc'!$E123,Transactions!D$18:D$46)</f>
        <v>0</v>
      </c>
      <c r="G123" s="28">
        <f>SUMIF(Transactions!$C$18:$C$46,'Percentage Calc'!$E123,Transactions!E$18:E$46)</f>
        <v>0</v>
      </c>
      <c r="H123" s="28">
        <f>SUMIF(Transactions!$C$18:$C$46,'Percentage Calc'!$E123,Transactions!F$18:F$46)</f>
        <v>0</v>
      </c>
      <c r="I123" s="28">
        <f>SUMIF(Transactions!$C$18:$C$46,'Percentage Calc'!$E123,Transactions!G$18:G$46)</f>
        <v>0</v>
      </c>
      <c r="J123" s="28">
        <f t="shared" si="5"/>
        <v>0</v>
      </c>
      <c r="K123" s="28">
        <f t="shared" si="6"/>
        <v>0</v>
      </c>
      <c r="L123" s="32"/>
      <c r="M123" s="28">
        <f>SUMIF(Transactions!$K$19:$K$46,'Percentage Calc'!$E123,Transactions!L$19:L$46)</f>
        <v>0</v>
      </c>
      <c r="N123" s="28">
        <f>SUMIF(Transactions!$K$19:$K$46,'Percentage Calc'!$E123,Transactions!M$19:M$46)</f>
        <v>0</v>
      </c>
      <c r="O123" s="28">
        <f>SUMIF(Transactions!$K$19:$K$46,'Percentage Calc'!$E123,Transactions!N$19:N$46)</f>
        <v>0</v>
      </c>
      <c r="P123" s="28">
        <f>SUMIF(Transactions!$K$19:$K$46,'Percentage Calc'!$E123,Transactions!O$19:O$46)</f>
        <v>0</v>
      </c>
      <c r="Q123" s="28">
        <f>SUMIF(Transactions!$K$19:$K$46,'Percentage Calc'!$E123,Transactions!P$19:P$46)</f>
        <v>0</v>
      </c>
      <c r="R123" s="28">
        <f t="shared" si="7"/>
        <v>0</v>
      </c>
      <c r="S123" s="28">
        <f t="shared" si="8"/>
        <v>0</v>
      </c>
    </row>
    <row r="124" spans="1:19" x14ac:dyDescent="0.35">
      <c r="A124" s="9"/>
      <c r="B124" s="32"/>
      <c r="C124" s="28">
        <f>IF(Check!$B$87=1,1,IF(R124&lt;1,0,1))</f>
        <v>1</v>
      </c>
      <c r="D124" s="28">
        <f t="shared" si="9"/>
        <v>1</v>
      </c>
      <c r="E124" s="32">
        <v>45948</v>
      </c>
      <c r="F124" s="28">
        <f>SUMIF(Transactions!$C$18:$C$46,'Percentage Calc'!$E124,Transactions!D$18:D$46)</f>
        <v>0</v>
      </c>
      <c r="G124" s="28">
        <f>SUMIF(Transactions!$C$18:$C$46,'Percentage Calc'!$E124,Transactions!E$18:E$46)</f>
        <v>0</v>
      </c>
      <c r="H124" s="28">
        <f>SUMIF(Transactions!$C$18:$C$46,'Percentage Calc'!$E124,Transactions!F$18:F$46)</f>
        <v>0</v>
      </c>
      <c r="I124" s="28">
        <f>SUMIF(Transactions!$C$18:$C$46,'Percentage Calc'!$E124,Transactions!G$18:G$46)</f>
        <v>0</v>
      </c>
      <c r="J124" s="28">
        <f t="shared" si="5"/>
        <v>0</v>
      </c>
      <c r="K124" s="28">
        <f t="shared" si="6"/>
        <v>0</v>
      </c>
      <c r="L124" s="32"/>
      <c r="M124" s="28">
        <f>SUMIF(Transactions!$K$19:$K$46,'Percentage Calc'!$E124,Transactions!L$19:L$46)</f>
        <v>0</v>
      </c>
      <c r="N124" s="28">
        <f>SUMIF(Transactions!$K$19:$K$46,'Percentage Calc'!$E124,Transactions!M$19:M$46)</f>
        <v>0</v>
      </c>
      <c r="O124" s="28">
        <f>SUMIF(Transactions!$K$19:$K$46,'Percentage Calc'!$E124,Transactions!N$19:N$46)</f>
        <v>0</v>
      </c>
      <c r="P124" s="28">
        <f>SUMIF(Transactions!$K$19:$K$46,'Percentage Calc'!$E124,Transactions!O$19:O$46)</f>
        <v>0</v>
      </c>
      <c r="Q124" s="28">
        <f>SUMIF(Transactions!$K$19:$K$46,'Percentage Calc'!$E124,Transactions!P$19:P$46)</f>
        <v>0</v>
      </c>
      <c r="R124" s="28">
        <f t="shared" si="7"/>
        <v>0</v>
      </c>
      <c r="S124" s="28">
        <f t="shared" si="8"/>
        <v>0</v>
      </c>
    </row>
    <row r="125" spans="1:19" x14ac:dyDescent="0.35">
      <c r="A125" s="9"/>
      <c r="B125" s="32"/>
      <c r="C125" s="28">
        <f>IF(Check!$B$87=1,1,IF(R125&lt;1,0,1))</f>
        <v>1</v>
      </c>
      <c r="D125" s="28">
        <f t="shared" si="9"/>
        <v>1</v>
      </c>
      <c r="E125" s="32">
        <v>45949</v>
      </c>
      <c r="F125" s="28">
        <f>SUMIF(Transactions!$C$18:$C$46,'Percentage Calc'!$E125,Transactions!D$18:D$46)</f>
        <v>0</v>
      </c>
      <c r="G125" s="28">
        <f>SUMIF(Transactions!$C$18:$C$46,'Percentage Calc'!$E125,Transactions!E$18:E$46)</f>
        <v>0</v>
      </c>
      <c r="H125" s="28">
        <f>SUMIF(Transactions!$C$18:$C$46,'Percentage Calc'!$E125,Transactions!F$18:F$46)</f>
        <v>0</v>
      </c>
      <c r="I125" s="28">
        <f>SUMIF(Transactions!$C$18:$C$46,'Percentage Calc'!$E125,Transactions!G$18:G$46)</f>
        <v>0</v>
      </c>
      <c r="J125" s="28">
        <f t="shared" si="5"/>
        <v>0</v>
      </c>
      <c r="K125" s="28">
        <f t="shared" si="6"/>
        <v>0</v>
      </c>
      <c r="L125" s="32"/>
      <c r="M125" s="28">
        <f>SUMIF(Transactions!$K$19:$K$46,'Percentage Calc'!$E125,Transactions!L$19:L$46)</f>
        <v>0</v>
      </c>
      <c r="N125" s="28">
        <f>SUMIF(Transactions!$K$19:$K$46,'Percentage Calc'!$E125,Transactions!M$19:M$46)</f>
        <v>0</v>
      </c>
      <c r="O125" s="28">
        <f>SUMIF(Transactions!$K$19:$K$46,'Percentage Calc'!$E125,Transactions!N$19:N$46)</f>
        <v>0</v>
      </c>
      <c r="P125" s="28">
        <f>SUMIF(Transactions!$K$19:$K$46,'Percentage Calc'!$E125,Transactions!O$19:O$46)</f>
        <v>0</v>
      </c>
      <c r="Q125" s="28">
        <f>SUMIF(Transactions!$K$19:$K$46,'Percentage Calc'!$E125,Transactions!P$19:P$46)</f>
        <v>0</v>
      </c>
      <c r="R125" s="28">
        <f t="shared" si="7"/>
        <v>0</v>
      </c>
      <c r="S125" s="28">
        <f t="shared" si="8"/>
        <v>0</v>
      </c>
    </row>
    <row r="126" spans="1:19" x14ac:dyDescent="0.35">
      <c r="A126" s="9"/>
      <c r="B126" s="32"/>
      <c r="C126" s="28">
        <f>IF(Check!$B$87=1,1,IF(R126&lt;1,0,1))</f>
        <v>1</v>
      </c>
      <c r="D126" s="28">
        <f t="shared" si="9"/>
        <v>1</v>
      </c>
      <c r="E126" s="32">
        <v>45950</v>
      </c>
      <c r="F126" s="28">
        <f>SUMIF(Transactions!$C$18:$C$46,'Percentage Calc'!$E126,Transactions!D$18:D$46)</f>
        <v>0</v>
      </c>
      <c r="G126" s="28">
        <f>SUMIF(Transactions!$C$18:$C$46,'Percentage Calc'!$E126,Transactions!E$18:E$46)</f>
        <v>0</v>
      </c>
      <c r="H126" s="28">
        <f>SUMIF(Transactions!$C$18:$C$46,'Percentage Calc'!$E126,Transactions!F$18:F$46)</f>
        <v>0</v>
      </c>
      <c r="I126" s="28">
        <f>SUMIF(Transactions!$C$18:$C$46,'Percentage Calc'!$E126,Transactions!G$18:G$46)</f>
        <v>0</v>
      </c>
      <c r="J126" s="28">
        <f t="shared" si="5"/>
        <v>0</v>
      </c>
      <c r="K126" s="28">
        <f t="shared" si="6"/>
        <v>0</v>
      </c>
      <c r="L126" s="32"/>
      <c r="M126" s="28">
        <f>SUMIF(Transactions!$K$19:$K$46,'Percentage Calc'!$E126,Transactions!L$19:L$46)</f>
        <v>0</v>
      </c>
      <c r="N126" s="28">
        <f>SUMIF(Transactions!$K$19:$K$46,'Percentage Calc'!$E126,Transactions!M$19:M$46)</f>
        <v>0</v>
      </c>
      <c r="O126" s="28">
        <f>SUMIF(Transactions!$K$19:$K$46,'Percentage Calc'!$E126,Transactions!N$19:N$46)</f>
        <v>0</v>
      </c>
      <c r="P126" s="28">
        <f>SUMIF(Transactions!$K$19:$K$46,'Percentage Calc'!$E126,Transactions!O$19:O$46)</f>
        <v>0</v>
      </c>
      <c r="Q126" s="28">
        <f>SUMIF(Transactions!$K$19:$K$46,'Percentage Calc'!$E126,Transactions!P$19:P$46)</f>
        <v>0</v>
      </c>
      <c r="R126" s="28">
        <f t="shared" si="7"/>
        <v>0</v>
      </c>
      <c r="S126" s="28">
        <f t="shared" si="8"/>
        <v>0</v>
      </c>
    </row>
    <row r="127" spans="1:19" x14ac:dyDescent="0.35">
      <c r="A127" s="9"/>
      <c r="B127" s="32"/>
      <c r="C127" s="28">
        <f>IF(Check!$B$87=1,1,IF(R127&lt;1,0,1))</f>
        <v>1</v>
      </c>
      <c r="D127" s="28">
        <f t="shared" si="9"/>
        <v>1</v>
      </c>
      <c r="E127" s="32">
        <v>45951</v>
      </c>
      <c r="F127" s="28">
        <f>SUMIF(Transactions!$C$18:$C$46,'Percentage Calc'!$E127,Transactions!D$18:D$46)</f>
        <v>0</v>
      </c>
      <c r="G127" s="28">
        <f>SUMIF(Transactions!$C$18:$C$46,'Percentage Calc'!$E127,Transactions!E$18:E$46)</f>
        <v>0</v>
      </c>
      <c r="H127" s="28">
        <f>SUMIF(Transactions!$C$18:$C$46,'Percentage Calc'!$E127,Transactions!F$18:F$46)</f>
        <v>0</v>
      </c>
      <c r="I127" s="28">
        <f>SUMIF(Transactions!$C$18:$C$46,'Percentage Calc'!$E127,Transactions!G$18:G$46)</f>
        <v>0</v>
      </c>
      <c r="J127" s="28">
        <f t="shared" si="5"/>
        <v>0</v>
      </c>
      <c r="K127" s="28">
        <f t="shared" si="6"/>
        <v>0</v>
      </c>
      <c r="L127" s="32"/>
      <c r="M127" s="28">
        <f>SUMIF(Transactions!$K$19:$K$46,'Percentage Calc'!$E127,Transactions!L$19:L$46)</f>
        <v>0</v>
      </c>
      <c r="N127" s="28">
        <f>SUMIF(Transactions!$K$19:$K$46,'Percentage Calc'!$E127,Transactions!M$19:M$46)</f>
        <v>0</v>
      </c>
      <c r="O127" s="28">
        <f>SUMIF(Transactions!$K$19:$K$46,'Percentage Calc'!$E127,Transactions!N$19:N$46)</f>
        <v>0</v>
      </c>
      <c r="P127" s="28">
        <f>SUMIF(Transactions!$K$19:$K$46,'Percentage Calc'!$E127,Transactions!O$19:O$46)</f>
        <v>0</v>
      </c>
      <c r="Q127" s="28">
        <f>SUMIF(Transactions!$K$19:$K$46,'Percentage Calc'!$E127,Transactions!P$19:P$46)</f>
        <v>0</v>
      </c>
      <c r="R127" s="28">
        <f t="shared" si="7"/>
        <v>0</v>
      </c>
      <c r="S127" s="28">
        <f t="shared" si="8"/>
        <v>0</v>
      </c>
    </row>
    <row r="128" spans="1:19" x14ac:dyDescent="0.35">
      <c r="A128" s="9"/>
      <c r="B128" s="32"/>
      <c r="C128" s="28">
        <f>IF(Check!$B$87=1,1,IF(R128&lt;1,0,1))</f>
        <v>1</v>
      </c>
      <c r="D128" s="28">
        <f t="shared" si="9"/>
        <v>1</v>
      </c>
      <c r="E128" s="32">
        <v>45952</v>
      </c>
      <c r="F128" s="28">
        <f>SUMIF(Transactions!$C$18:$C$46,'Percentage Calc'!$E128,Transactions!D$18:D$46)</f>
        <v>0</v>
      </c>
      <c r="G128" s="28">
        <f>SUMIF(Transactions!$C$18:$C$46,'Percentage Calc'!$E128,Transactions!E$18:E$46)</f>
        <v>0</v>
      </c>
      <c r="H128" s="28">
        <f>SUMIF(Transactions!$C$18:$C$46,'Percentage Calc'!$E128,Transactions!F$18:F$46)</f>
        <v>0</v>
      </c>
      <c r="I128" s="28">
        <f>SUMIF(Transactions!$C$18:$C$46,'Percentage Calc'!$E128,Transactions!G$18:G$46)</f>
        <v>0</v>
      </c>
      <c r="J128" s="28">
        <f t="shared" si="5"/>
        <v>0</v>
      </c>
      <c r="K128" s="28">
        <f t="shared" si="6"/>
        <v>0</v>
      </c>
      <c r="L128" s="32"/>
      <c r="M128" s="28">
        <f>SUMIF(Transactions!$K$19:$K$46,'Percentage Calc'!$E128,Transactions!L$19:L$46)</f>
        <v>0</v>
      </c>
      <c r="N128" s="28">
        <f>SUMIF(Transactions!$K$19:$K$46,'Percentage Calc'!$E128,Transactions!M$19:M$46)</f>
        <v>0</v>
      </c>
      <c r="O128" s="28">
        <f>SUMIF(Transactions!$K$19:$K$46,'Percentage Calc'!$E128,Transactions!N$19:N$46)</f>
        <v>0</v>
      </c>
      <c r="P128" s="28">
        <f>SUMIF(Transactions!$K$19:$K$46,'Percentage Calc'!$E128,Transactions!O$19:O$46)</f>
        <v>0</v>
      </c>
      <c r="Q128" s="28">
        <f>SUMIF(Transactions!$K$19:$K$46,'Percentage Calc'!$E128,Transactions!P$19:P$46)</f>
        <v>0</v>
      </c>
      <c r="R128" s="28">
        <f t="shared" si="7"/>
        <v>0</v>
      </c>
      <c r="S128" s="28">
        <f t="shared" si="8"/>
        <v>0</v>
      </c>
    </row>
    <row r="129" spans="1:19" x14ac:dyDescent="0.35">
      <c r="A129" s="9"/>
      <c r="B129" s="32"/>
      <c r="C129" s="28">
        <f>IF(Check!$B$87=1,1,IF(R129&lt;1,0,1))</f>
        <v>1</v>
      </c>
      <c r="D129" s="28">
        <f t="shared" si="9"/>
        <v>1</v>
      </c>
      <c r="E129" s="32">
        <v>45953</v>
      </c>
      <c r="F129" s="28">
        <f>SUMIF(Transactions!$C$18:$C$46,'Percentage Calc'!$E129,Transactions!D$18:D$46)</f>
        <v>0</v>
      </c>
      <c r="G129" s="28">
        <f>SUMIF(Transactions!$C$18:$C$46,'Percentage Calc'!$E129,Transactions!E$18:E$46)</f>
        <v>0</v>
      </c>
      <c r="H129" s="28">
        <f>SUMIF(Transactions!$C$18:$C$46,'Percentage Calc'!$E129,Transactions!F$18:F$46)</f>
        <v>0</v>
      </c>
      <c r="I129" s="28">
        <f>SUMIF(Transactions!$C$18:$C$46,'Percentage Calc'!$E129,Transactions!G$18:G$46)</f>
        <v>0</v>
      </c>
      <c r="J129" s="28">
        <f t="shared" si="5"/>
        <v>0</v>
      </c>
      <c r="K129" s="28">
        <f t="shared" si="6"/>
        <v>0</v>
      </c>
      <c r="L129" s="32"/>
      <c r="M129" s="28">
        <f>SUMIF(Transactions!$K$19:$K$46,'Percentage Calc'!$E129,Transactions!L$19:L$46)</f>
        <v>0</v>
      </c>
      <c r="N129" s="28">
        <f>SUMIF(Transactions!$K$19:$K$46,'Percentage Calc'!$E129,Transactions!M$19:M$46)</f>
        <v>0</v>
      </c>
      <c r="O129" s="28">
        <f>SUMIF(Transactions!$K$19:$K$46,'Percentage Calc'!$E129,Transactions!N$19:N$46)</f>
        <v>0</v>
      </c>
      <c r="P129" s="28">
        <f>SUMIF(Transactions!$K$19:$K$46,'Percentage Calc'!$E129,Transactions!O$19:O$46)</f>
        <v>0</v>
      </c>
      <c r="Q129" s="28">
        <f>SUMIF(Transactions!$K$19:$K$46,'Percentage Calc'!$E129,Transactions!P$19:P$46)</f>
        <v>0</v>
      </c>
      <c r="R129" s="28">
        <f t="shared" si="7"/>
        <v>0</v>
      </c>
      <c r="S129" s="28">
        <f t="shared" si="8"/>
        <v>0</v>
      </c>
    </row>
    <row r="130" spans="1:19" x14ac:dyDescent="0.35">
      <c r="A130" s="9"/>
      <c r="B130" s="32"/>
      <c r="C130" s="28">
        <f>IF(Check!$B$87=1,1,IF(R130&lt;1,0,1))</f>
        <v>1</v>
      </c>
      <c r="D130" s="28">
        <f t="shared" si="9"/>
        <v>1</v>
      </c>
      <c r="E130" s="32">
        <v>45954</v>
      </c>
      <c r="F130" s="28">
        <f>SUMIF(Transactions!$C$18:$C$46,'Percentage Calc'!$E130,Transactions!D$18:D$46)</f>
        <v>0</v>
      </c>
      <c r="G130" s="28">
        <f>SUMIF(Transactions!$C$18:$C$46,'Percentage Calc'!$E130,Transactions!E$18:E$46)</f>
        <v>0</v>
      </c>
      <c r="H130" s="28">
        <f>SUMIF(Transactions!$C$18:$C$46,'Percentage Calc'!$E130,Transactions!F$18:F$46)</f>
        <v>0</v>
      </c>
      <c r="I130" s="28">
        <f>SUMIF(Transactions!$C$18:$C$46,'Percentage Calc'!$E130,Transactions!G$18:G$46)</f>
        <v>0</v>
      </c>
      <c r="J130" s="28">
        <f t="shared" si="5"/>
        <v>0</v>
      </c>
      <c r="K130" s="28">
        <f t="shared" si="6"/>
        <v>0</v>
      </c>
      <c r="L130" s="32"/>
      <c r="M130" s="28">
        <f>SUMIF(Transactions!$K$19:$K$46,'Percentage Calc'!$E130,Transactions!L$19:L$46)</f>
        <v>0</v>
      </c>
      <c r="N130" s="28">
        <f>SUMIF(Transactions!$K$19:$K$46,'Percentage Calc'!$E130,Transactions!M$19:M$46)</f>
        <v>0</v>
      </c>
      <c r="O130" s="28">
        <f>SUMIF(Transactions!$K$19:$K$46,'Percentage Calc'!$E130,Transactions!N$19:N$46)</f>
        <v>0</v>
      </c>
      <c r="P130" s="28">
        <f>SUMIF(Transactions!$K$19:$K$46,'Percentage Calc'!$E130,Transactions!O$19:O$46)</f>
        <v>0</v>
      </c>
      <c r="Q130" s="28">
        <f>SUMIF(Transactions!$K$19:$K$46,'Percentage Calc'!$E130,Transactions!P$19:P$46)</f>
        <v>0</v>
      </c>
      <c r="R130" s="28">
        <f t="shared" si="7"/>
        <v>0</v>
      </c>
      <c r="S130" s="28">
        <f t="shared" si="8"/>
        <v>0</v>
      </c>
    </row>
    <row r="131" spans="1:19" x14ac:dyDescent="0.35">
      <c r="A131" s="9"/>
      <c r="B131" s="32"/>
      <c r="C131" s="28">
        <f>IF(Check!$B$87=1,1,IF(R131&lt;1,0,1))</f>
        <v>1</v>
      </c>
      <c r="D131" s="28">
        <f t="shared" si="9"/>
        <v>1</v>
      </c>
      <c r="E131" s="32">
        <v>45955</v>
      </c>
      <c r="F131" s="28">
        <f>SUMIF(Transactions!$C$18:$C$46,'Percentage Calc'!$E131,Transactions!D$18:D$46)</f>
        <v>0</v>
      </c>
      <c r="G131" s="28">
        <f>SUMIF(Transactions!$C$18:$C$46,'Percentage Calc'!$E131,Transactions!E$18:E$46)</f>
        <v>0</v>
      </c>
      <c r="H131" s="28">
        <f>SUMIF(Transactions!$C$18:$C$46,'Percentage Calc'!$E131,Transactions!F$18:F$46)</f>
        <v>0</v>
      </c>
      <c r="I131" s="28">
        <f>SUMIF(Transactions!$C$18:$C$46,'Percentage Calc'!$E131,Transactions!G$18:G$46)</f>
        <v>0</v>
      </c>
      <c r="J131" s="28">
        <f t="shared" si="5"/>
        <v>0</v>
      </c>
      <c r="K131" s="28">
        <f t="shared" si="6"/>
        <v>0</v>
      </c>
      <c r="L131" s="32"/>
      <c r="M131" s="28">
        <f>SUMIF(Transactions!$K$19:$K$46,'Percentage Calc'!$E131,Transactions!L$19:L$46)</f>
        <v>0</v>
      </c>
      <c r="N131" s="28">
        <f>SUMIF(Transactions!$K$19:$K$46,'Percentage Calc'!$E131,Transactions!M$19:M$46)</f>
        <v>0</v>
      </c>
      <c r="O131" s="28">
        <f>SUMIF(Transactions!$K$19:$K$46,'Percentage Calc'!$E131,Transactions!N$19:N$46)</f>
        <v>0</v>
      </c>
      <c r="P131" s="28">
        <f>SUMIF(Transactions!$K$19:$K$46,'Percentage Calc'!$E131,Transactions!O$19:O$46)</f>
        <v>0</v>
      </c>
      <c r="Q131" s="28">
        <f>SUMIF(Transactions!$K$19:$K$46,'Percentage Calc'!$E131,Transactions!P$19:P$46)</f>
        <v>0</v>
      </c>
      <c r="R131" s="28">
        <f t="shared" si="7"/>
        <v>0</v>
      </c>
      <c r="S131" s="28">
        <f t="shared" si="8"/>
        <v>0</v>
      </c>
    </row>
    <row r="132" spans="1:19" x14ac:dyDescent="0.35">
      <c r="A132" s="9"/>
      <c r="B132" s="32"/>
      <c r="C132" s="28">
        <f>IF(Check!$B$87=1,1,IF(R132&lt;1,0,1))</f>
        <v>1</v>
      </c>
      <c r="D132" s="28">
        <f t="shared" si="9"/>
        <v>1</v>
      </c>
      <c r="E132" s="32">
        <v>45956</v>
      </c>
      <c r="F132" s="28">
        <f>SUMIF(Transactions!$C$18:$C$46,'Percentage Calc'!$E132,Transactions!D$18:D$46)</f>
        <v>0</v>
      </c>
      <c r="G132" s="28">
        <f>SUMIF(Transactions!$C$18:$C$46,'Percentage Calc'!$E132,Transactions!E$18:E$46)</f>
        <v>0</v>
      </c>
      <c r="H132" s="28">
        <f>SUMIF(Transactions!$C$18:$C$46,'Percentage Calc'!$E132,Transactions!F$18:F$46)</f>
        <v>0</v>
      </c>
      <c r="I132" s="28">
        <f>SUMIF(Transactions!$C$18:$C$46,'Percentage Calc'!$E132,Transactions!G$18:G$46)</f>
        <v>0</v>
      </c>
      <c r="J132" s="28">
        <f t="shared" si="5"/>
        <v>0</v>
      </c>
      <c r="K132" s="28">
        <f t="shared" si="6"/>
        <v>0</v>
      </c>
      <c r="L132" s="32"/>
      <c r="M132" s="28">
        <f>SUMIF(Transactions!$K$19:$K$46,'Percentage Calc'!$E132,Transactions!L$19:L$46)</f>
        <v>0</v>
      </c>
      <c r="N132" s="28">
        <f>SUMIF(Transactions!$K$19:$K$46,'Percentage Calc'!$E132,Transactions!M$19:M$46)</f>
        <v>0</v>
      </c>
      <c r="O132" s="28">
        <f>SUMIF(Transactions!$K$19:$K$46,'Percentage Calc'!$E132,Transactions!N$19:N$46)</f>
        <v>0</v>
      </c>
      <c r="P132" s="28">
        <f>SUMIF(Transactions!$K$19:$K$46,'Percentage Calc'!$E132,Transactions!O$19:O$46)</f>
        <v>0</v>
      </c>
      <c r="Q132" s="28">
        <f>SUMIF(Transactions!$K$19:$K$46,'Percentage Calc'!$E132,Transactions!P$19:P$46)</f>
        <v>0</v>
      </c>
      <c r="R132" s="28">
        <f t="shared" si="7"/>
        <v>0</v>
      </c>
      <c r="S132" s="28">
        <f t="shared" si="8"/>
        <v>0</v>
      </c>
    </row>
    <row r="133" spans="1:19" x14ac:dyDescent="0.35">
      <c r="A133" s="9"/>
      <c r="B133" s="32"/>
      <c r="C133" s="28">
        <f>IF(Check!$B$87=1,1,IF(R133&lt;1,0,1))</f>
        <v>1</v>
      </c>
      <c r="D133" s="28">
        <f t="shared" si="9"/>
        <v>1</v>
      </c>
      <c r="E133" s="32">
        <v>45957</v>
      </c>
      <c r="F133" s="28">
        <f>SUMIF(Transactions!$C$18:$C$46,'Percentage Calc'!$E133,Transactions!D$18:D$46)</f>
        <v>0</v>
      </c>
      <c r="G133" s="28">
        <f>SUMIF(Transactions!$C$18:$C$46,'Percentage Calc'!$E133,Transactions!E$18:E$46)</f>
        <v>0</v>
      </c>
      <c r="H133" s="28">
        <f>SUMIF(Transactions!$C$18:$C$46,'Percentage Calc'!$E133,Transactions!F$18:F$46)</f>
        <v>0</v>
      </c>
      <c r="I133" s="28">
        <f>SUMIF(Transactions!$C$18:$C$46,'Percentage Calc'!$E133,Transactions!G$18:G$46)</f>
        <v>0</v>
      </c>
      <c r="J133" s="28">
        <f t="shared" si="5"/>
        <v>0</v>
      </c>
      <c r="K133" s="28">
        <f t="shared" si="6"/>
        <v>0</v>
      </c>
      <c r="L133" s="32"/>
      <c r="M133" s="28">
        <f>SUMIF(Transactions!$K$19:$K$46,'Percentage Calc'!$E133,Transactions!L$19:L$46)</f>
        <v>0</v>
      </c>
      <c r="N133" s="28">
        <f>SUMIF(Transactions!$K$19:$K$46,'Percentage Calc'!$E133,Transactions!M$19:M$46)</f>
        <v>0</v>
      </c>
      <c r="O133" s="28">
        <f>SUMIF(Transactions!$K$19:$K$46,'Percentage Calc'!$E133,Transactions!N$19:N$46)</f>
        <v>0</v>
      </c>
      <c r="P133" s="28">
        <f>SUMIF(Transactions!$K$19:$K$46,'Percentage Calc'!$E133,Transactions!O$19:O$46)</f>
        <v>0</v>
      </c>
      <c r="Q133" s="28">
        <f>SUMIF(Transactions!$K$19:$K$46,'Percentage Calc'!$E133,Transactions!P$19:P$46)</f>
        <v>0</v>
      </c>
      <c r="R133" s="28">
        <f t="shared" si="7"/>
        <v>0</v>
      </c>
      <c r="S133" s="28">
        <f t="shared" si="8"/>
        <v>0</v>
      </c>
    </row>
    <row r="134" spans="1:19" x14ac:dyDescent="0.35">
      <c r="A134" s="9"/>
      <c r="B134" s="32"/>
      <c r="C134" s="28">
        <f>IF(Check!$B$87=1,1,IF(R134&lt;1,0,1))</f>
        <v>1</v>
      </c>
      <c r="D134" s="28">
        <f t="shared" si="9"/>
        <v>1</v>
      </c>
      <c r="E134" s="32">
        <v>45958</v>
      </c>
      <c r="F134" s="28">
        <f>SUMIF(Transactions!$C$18:$C$46,'Percentage Calc'!$E134,Transactions!D$18:D$46)</f>
        <v>0</v>
      </c>
      <c r="G134" s="28">
        <f>SUMIF(Transactions!$C$18:$C$46,'Percentage Calc'!$E134,Transactions!E$18:E$46)</f>
        <v>0</v>
      </c>
      <c r="H134" s="28">
        <f>SUMIF(Transactions!$C$18:$C$46,'Percentage Calc'!$E134,Transactions!F$18:F$46)</f>
        <v>0</v>
      </c>
      <c r="I134" s="28">
        <f>SUMIF(Transactions!$C$18:$C$46,'Percentage Calc'!$E134,Transactions!G$18:G$46)</f>
        <v>0</v>
      </c>
      <c r="J134" s="28">
        <f t="shared" si="5"/>
        <v>0</v>
      </c>
      <c r="K134" s="28">
        <f t="shared" si="6"/>
        <v>0</v>
      </c>
      <c r="L134" s="32"/>
      <c r="M134" s="28">
        <f>SUMIF(Transactions!$K$19:$K$46,'Percentage Calc'!$E134,Transactions!L$19:L$46)</f>
        <v>0</v>
      </c>
      <c r="N134" s="28">
        <f>SUMIF(Transactions!$K$19:$K$46,'Percentage Calc'!$E134,Transactions!M$19:M$46)</f>
        <v>0</v>
      </c>
      <c r="O134" s="28">
        <f>SUMIF(Transactions!$K$19:$K$46,'Percentage Calc'!$E134,Transactions!N$19:N$46)</f>
        <v>0</v>
      </c>
      <c r="P134" s="28">
        <f>SUMIF(Transactions!$K$19:$K$46,'Percentage Calc'!$E134,Transactions!O$19:O$46)</f>
        <v>0</v>
      </c>
      <c r="Q134" s="28">
        <f>SUMIF(Transactions!$K$19:$K$46,'Percentage Calc'!$E134,Transactions!P$19:P$46)</f>
        <v>0</v>
      </c>
      <c r="R134" s="28">
        <f t="shared" si="7"/>
        <v>0</v>
      </c>
      <c r="S134" s="28">
        <f t="shared" si="8"/>
        <v>0</v>
      </c>
    </row>
    <row r="135" spans="1:19" x14ac:dyDescent="0.35">
      <c r="A135" s="9"/>
      <c r="B135" s="32"/>
      <c r="C135" s="28">
        <f>IF(Check!$B$87=1,1,IF(R135&lt;1,0,1))</f>
        <v>1</v>
      </c>
      <c r="D135" s="28">
        <f t="shared" si="9"/>
        <v>1</v>
      </c>
      <c r="E135" s="32">
        <v>45959</v>
      </c>
      <c r="F135" s="28">
        <f>SUMIF(Transactions!$C$18:$C$46,'Percentage Calc'!$E135,Transactions!D$18:D$46)</f>
        <v>0</v>
      </c>
      <c r="G135" s="28">
        <f>SUMIF(Transactions!$C$18:$C$46,'Percentage Calc'!$E135,Transactions!E$18:E$46)</f>
        <v>0</v>
      </c>
      <c r="H135" s="28">
        <f>SUMIF(Transactions!$C$18:$C$46,'Percentage Calc'!$E135,Transactions!F$18:F$46)</f>
        <v>0</v>
      </c>
      <c r="I135" s="28">
        <f>SUMIF(Transactions!$C$18:$C$46,'Percentage Calc'!$E135,Transactions!G$18:G$46)</f>
        <v>0</v>
      </c>
      <c r="J135" s="28">
        <f t="shared" si="5"/>
        <v>0</v>
      </c>
      <c r="K135" s="28">
        <f t="shared" si="6"/>
        <v>0</v>
      </c>
      <c r="L135" s="32"/>
      <c r="M135" s="28">
        <f>SUMIF(Transactions!$K$19:$K$46,'Percentage Calc'!$E135,Transactions!L$19:L$46)</f>
        <v>0</v>
      </c>
      <c r="N135" s="28">
        <f>SUMIF(Transactions!$K$19:$K$46,'Percentage Calc'!$E135,Transactions!M$19:M$46)</f>
        <v>0</v>
      </c>
      <c r="O135" s="28">
        <f>SUMIF(Transactions!$K$19:$K$46,'Percentage Calc'!$E135,Transactions!N$19:N$46)</f>
        <v>0</v>
      </c>
      <c r="P135" s="28">
        <f>SUMIF(Transactions!$K$19:$K$46,'Percentage Calc'!$E135,Transactions!O$19:O$46)</f>
        <v>0</v>
      </c>
      <c r="Q135" s="28">
        <f>SUMIF(Transactions!$K$19:$K$46,'Percentage Calc'!$E135,Transactions!P$19:P$46)</f>
        <v>0</v>
      </c>
      <c r="R135" s="28">
        <f t="shared" si="7"/>
        <v>0</v>
      </c>
      <c r="S135" s="28">
        <f t="shared" si="8"/>
        <v>0</v>
      </c>
    </row>
    <row r="136" spans="1:19" x14ac:dyDescent="0.35">
      <c r="A136" s="9"/>
      <c r="B136" s="32"/>
      <c r="C136" s="28">
        <f>IF(Check!$B$87=1,1,IF(R136&lt;1,0,1))</f>
        <v>1</v>
      </c>
      <c r="D136" s="28">
        <f t="shared" si="9"/>
        <v>1</v>
      </c>
      <c r="E136" s="32">
        <v>45960</v>
      </c>
      <c r="F136" s="28">
        <f>SUMIF(Transactions!$C$18:$C$46,'Percentage Calc'!$E136,Transactions!D$18:D$46)</f>
        <v>0</v>
      </c>
      <c r="G136" s="28">
        <f>SUMIF(Transactions!$C$18:$C$46,'Percentage Calc'!$E136,Transactions!E$18:E$46)</f>
        <v>0</v>
      </c>
      <c r="H136" s="28">
        <f>SUMIF(Transactions!$C$18:$C$46,'Percentage Calc'!$E136,Transactions!F$18:F$46)</f>
        <v>0</v>
      </c>
      <c r="I136" s="28">
        <f>SUMIF(Transactions!$C$18:$C$46,'Percentage Calc'!$E136,Transactions!G$18:G$46)</f>
        <v>0</v>
      </c>
      <c r="J136" s="28">
        <f t="shared" si="5"/>
        <v>0</v>
      </c>
      <c r="K136" s="28">
        <f t="shared" si="6"/>
        <v>0</v>
      </c>
      <c r="L136" s="32"/>
      <c r="M136" s="28">
        <f>SUMIF(Transactions!$K$19:$K$46,'Percentage Calc'!$E136,Transactions!L$19:L$46)</f>
        <v>0</v>
      </c>
      <c r="N136" s="28">
        <f>SUMIF(Transactions!$K$19:$K$46,'Percentage Calc'!$E136,Transactions!M$19:M$46)</f>
        <v>0</v>
      </c>
      <c r="O136" s="28">
        <f>SUMIF(Transactions!$K$19:$K$46,'Percentage Calc'!$E136,Transactions!N$19:N$46)</f>
        <v>0</v>
      </c>
      <c r="P136" s="28">
        <f>SUMIF(Transactions!$K$19:$K$46,'Percentage Calc'!$E136,Transactions!O$19:O$46)</f>
        <v>0</v>
      </c>
      <c r="Q136" s="28">
        <f>SUMIF(Transactions!$K$19:$K$46,'Percentage Calc'!$E136,Transactions!P$19:P$46)</f>
        <v>0</v>
      </c>
      <c r="R136" s="28">
        <f t="shared" si="7"/>
        <v>0</v>
      </c>
      <c r="S136" s="28">
        <f t="shared" si="8"/>
        <v>0</v>
      </c>
    </row>
    <row r="137" spans="1:19" x14ac:dyDescent="0.35">
      <c r="A137" s="9"/>
      <c r="B137" s="32"/>
      <c r="C137" s="28">
        <f>IF(Check!$B$87=1,1,IF(R137&lt;1,0,1))</f>
        <v>1</v>
      </c>
      <c r="D137" s="28">
        <f t="shared" si="9"/>
        <v>1</v>
      </c>
      <c r="E137" s="32">
        <v>45961</v>
      </c>
      <c r="F137" s="28">
        <f>SUMIF(Transactions!$C$18:$C$46,'Percentage Calc'!$E137,Transactions!D$18:D$46)</f>
        <v>0</v>
      </c>
      <c r="G137" s="28">
        <f>SUMIF(Transactions!$C$18:$C$46,'Percentage Calc'!$E137,Transactions!E$18:E$46)</f>
        <v>0</v>
      </c>
      <c r="H137" s="28">
        <f>SUMIF(Transactions!$C$18:$C$46,'Percentage Calc'!$E137,Transactions!F$18:F$46)</f>
        <v>0</v>
      </c>
      <c r="I137" s="28">
        <f>SUMIF(Transactions!$C$18:$C$46,'Percentage Calc'!$E137,Transactions!G$18:G$46)</f>
        <v>0</v>
      </c>
      <c r="J137" s="28">
        <f t="shared" si="5"/>
        <v>0</v>
      </c>
      <c r="K137" s="28">
        <f t="shared" si="6"/>
        <v>0</v>
      </c>
      <c r="L137" s="32"/>
      <c r="M137" s="28">
        <f>SUMIF(Transactions!$K$19:$K$46,'Percentage Calc'!$E137,Transactions!L$19:L$46)</f>
        <v>0</v>
      </c>
      <c r="N137" s="28">
        <f>SUMIF(Transactions!$K$19:$K$46,'Percentage Calc'!$E137,Transactions!M$19:M$46)</f>
        <v>0</v>
      </c>
      <c r="O137" s="28">
        <f>SUMIF(Transactions!$K$19:$K$46,'Percentage Calc'!$E137,Transactions!N$19:N$46)</f>
        <v>0</v>
      </c>
      <c r="P137" s="28">
        <f>SUMIF(Transactions!$K$19:$K$46,'Percentage Calc'!$E137,Transactions!O$19:O$46)</f>
        <v>0</v>
      </c>
      <c r="Q137" s="28">
        <f>SUMIF(Transactions!$K$19:$K$46,'Percentage Calc'!$E137,Transactions!P$19:P$46)</f>
        <v>0</v>
      </c>
      <c r="R137" s="28">
        <f t="shared" si="7"/>
        <v>0</v>
      </c>
      <c r="S137" s="28">
        <f t="shared" si="8"/>
        <v>0</v>
      </c>
    </row>
    <row r="138" spans="1:19" x14ac:dyDescent="0.35">
      <c r="A138" s="9"/>
      <c r="B138" s="32"/>
      <c r="C138" s="28">
        <f>IF(Check!$B$87=1,1,IF(R138&lt;1,0,1))</f>
        <v>1</v>
      </c>
      <c r="D138" s="28">
        <f t="shared" si="9"/>
        <v>1</v>
      </c>
      <c r="E138" s="32">
        <v>45962</v>
      </c>
      <c r="F138" s="28">
        <f>SUMIF(Transactions!$C$18:$C$46,'Percentage Calc'!$E138,Transactions!D$18:D$46)</f>
        <v>0</v>
      </c>
      <c r="G138" s="28">
        <f>SUMIF(Transactions!$C$18:$C$46,'Percentage Calc'!$E138,Transactions!E$18:E$46)</f>
        <v>0</v>
      </c>
      <c r="H138" s="28">
        <f>SUMIF(Transactions!$C$18:$C$46,'Percentage Calc'!$E138,Transactions!F$18:F$46)</f>
        <v>0</v>
      </c>
      <c r="I138" s="28">
        <f>SUMIF(Transactions!$C$18:$C$46,'Percentage Calc'!$E138,Transactions!G$18:G$46)</f>
        <v>0</v>
      </c>
      <c r="J138" s="28">
        <f t="shared" si="5"/>
        <v>0</v>
      </c>
      <c r="K138" s="28">
        <f t="shared" si="6"/>
        <v>0</v>
      </c>
      <c r="L138" s="32"/>
      <c r="M138" s="28">
        <f>SUMIF(Transactions!$K$19:$K$46,'Percentage Calc'!$E138,Transactions!L$19:L$46)</f>
        <v>0</v>
      </c>
      <c r="N138" s="28">
        <f>SUMIF(Transactions!$K$19:$K$46,'Percentage Calc'!$E138,Transactions!M$19:M$46)</f>
        <v>0</v>
      </c>
      <c r="O138" s="28">
        <f>SUMIF(Transactions!$K$19:$K$46,'Percentage Calc'!$E138,Transactions!N$19:N$46)</f>
        <v>0</v>
      </c>
      <c r="P138" s="28">
        <f>SUMIF(Transactions!$K$19:$K$46,'Percentage Calc'!$E138,Transactions!O$19:O$46)</f>
        <v>0</v>
      </c>
      <c r="Q138" s="28">
        <f>SUMIF(Transactions!$K$19:$K$46,'Percentage Calc'!$E138,Transactions!P$19:P$46)</f>
        <v>0</v>
      </c>
      <c r="R138" s="28">
        <f t="shared" si="7"/>
        <v>0</v>
      </c>
      <c r="S138" s="28">
        <f t="shared" si="8"/>
        <v>0</v>
      </c>
    </row>
    <row r="139" spans="1:19" x14ac:dyDescent="0.35">
      <c r="A139" s="9"/>
      <c r="B139" s="32"/>
      <c r="C139" s="28">
        <f>IF(Check!$B$87=1,1,IF(R139&lt;1,0,1))</f>
        <v>1</v>
      </c>
      <c r="D139" s="28">
        <f t="shared" si="9"/>
        <v>1</v>
      </c>
      <c r="E139" s="32">
        <v>45963</v>
      </c>
      <c r="F139" s="28">
        <f>SUMIF(Transactions!$C$18:$C$46,'Percentage Calc'!$E139,Transactions!D$18:D$46)</f>
        <v>0</v>
      </c>
      <c r="G139" s="28">
        <f>SUMIF(Transactions!$C$18:$C$46,'Percentage Calc'!$E139,Transactions!E$18:E$46)</f>
        <v>0</v>
      </c>
      <c r="H139" s="28">
        <f>SUMIF(Transactions!$C$18:$C$46,'Percentage Calc'!$E139,Transactions!F$18:F$46)</f>
        <v>0</v>
      </c>
      <c r="I139" s="28">
        <f>SUMIF(Transactions!$C$18:$C$46,'Percentage Calc'!$E139,Transactions!G$18:G$46)</f>
        <v>0</v>
      </c>
      <c r="J139" s="28">
        <f t="shared" si="5"/>
        <v>0</v>
      </c>
      <c r="K139" s="28">
        <f t="shared" si="6"/>
        <v>0</v>
      </c>
      <c r="L139" s="32"/>
      <c r="M139" s="28">
        <f>SUMIF(Transactions!$K$19:$K$46,'Percentage Calc'!$E139,Transactions!L$19:L$46)</f>
        <v>0</v>
      </c>
      <c r="N139" s="28">
        <f>SUMIF(Transactions!$K$19:$K$46,'Percentage Calc'!$E139,Transactions!M$19:M$46)</f>
        <v>0</v>
      </c>
      <c r="O139" s="28">
        <f>SUMIF(Transactions!$K$19:$K$46,'Percentage Calc'!$E139,Transactions!N$19:N$46)</f>
        <v>0</v>
      </c>
      <c r="P139" s="28">
        <f>SUMIF(Transactions!$K$19:$K$46,'Percentage Calc'!$E139,Transactions!O$19:O$46)</f>
        <v>0</v>
      </c>
      <c r="Q139" s="28">
        <f>SUMIF(Transactions!$K$19:$K$46,'Percentage Calc'!$E139,Transactions!P$19:P$46)</f>
        <v>0</v>
      </c>
      <c r="R139" s="28">
        <f t="shared" si="7"/>
        <v>0</v>
      </c>
      <c r="S139" s="28">
        <f t="shared" si="8"/>
        <v>0</v>
      </c>
    </row>
    <row r="140" spans="1:19" x14ac:dyDescent="0.35">
      <c r="A140" s="9"/>
      <c r="B140" s="32"/>
      <c r="C140" s="28">
        <f>IF(Check!$B$87=1,1,IF(R140&lt;1,0,1))</f>
        <v>1</v>
      </c>
      <c r="D140" s="28">
        <f t="shared" si="9"/>
        <v>1</v>
      </c>
      <c r="E140" s="32">
        <v>45964</v>
      </c>
      <c r="F140" s="28">
        <f>SUMIF(Transactions!$C$18:$C$46,'Percentage Calc'!$E140,Transactions!D$18:D$46)</f>
        <v>0</v>
      </c>
      <c r="G140" s="28">
        <f>SUMIF(Transactions!$C$18:$C$46,'Percentage Calc'!$E140,Transactions!E$18:E$46)</f>
        <v>0</v>
      </c>
      <c r="H140" s="28">
        <f>SUMIF(Transactions!$C$18:$C$46,'Percentage Calc'!$E140,Transactions!F$18:F$46)</f>
        <v>0</v>
      </c>
      <c r="I140" s="28">
        <f>SUMIF(Transactions!$C$18:$C$46,'Percentage Calc'!$E140,Transactions!G$18:G$46)</f>
        <v>0</v>
      </c>
      <c r="J140" s="28">
        <f t="shared" si="5"/>
        <v>0</v>
      </c>
      <c r="K140" s="28">
        <f t="shared" si="6"/>
        <v>0</v>
      </c>
      <c r="L140" s="32"/>
      <c r="M140" s="28">
        <f>SUMIF(Transactions!$K$19:$K$46,'Percentage Calc'!$E140,Transactions!L$19:L$46)</f>
        <v>0</v>
      </c>
      <c r="N140" s="28">
        <f>SUMIF(Transactions!$K$19:$K$46,'Percentage Calc'!$E140,Transactions!M$19:M$46)</f>
        <v>0</v>
      </c>
      <c r="O140" s="28">
        <f>SUMIF(Transactions!$K$19:$K$46,'Percentage Calc'!$E140,Transactions!N$19:N$46)</f>
        <v>0</v>
      </c>
      <c r="P140" s="28">
        <f>SUMIF(Transactions!$K$19:$K$46,'Percentage Calc'!$E140,Transactions!O$19:O$46)</f>
        <v>0</v>
      </c>
      <c r="Q140" s="28">
        <f>SUMIF(Transactions!$K$19:$K$46,'Percentage Calc'!$E140,Transactions!P$19:P$46)</f>
        <v>0</v>
      </c>
      <c r="R140" s="28">
        <f t="shared" si="7"/>
        <v>0</v>
      </c>
      <c r="S140" s="28">
        <f t="shared" si="8"/>
        <v>0</v>
      </c>
    </row>
    <row r="141" spans="1:19" x14ac:dyDescent="0.35">
      <c r="A141" s="9"/>
      <c r="B141" s="32"/>
      <c r="C141" s="28">
        <f>IF(Check!$B$87=1,1,IF(R141&lt;1,0,1))</f>
        <v>1</v>
      </c>
      <c r="D141" s="28">
        <f t="shared" si="9"/>
        <v>1</v>
      </c>
      <c r="E141" s="32">
        <v>45965</v>
      </c>
      <c r="F141" s="28">
        <f>SUMIF(Transactions!$C$18:$C$46,'Percentage Calc'!$E141,Transactions!D$18:D$46)</f>
        <v>0</v>
      </c>
      <c r="G141" s="28">
        <f>SUMIF(Transactions!$C$18:$C$46,'Percentage Calc'!$E141,Transactions!E$18:E$46)</f>
        <v>0</v>
      </c>
      <c r="H141" s="28">
        <f>SUMIF(Transactions!$C$18:$C$46,'Percentage Calc'!$E141,Transactions!F$18:F$46)</f>
        <v>0</v>
      </c>
      <c r="I141" s="28">
        <f>SUMIF(Transactions!$C$18:$C$46,'Percentage Calc'!$E141,Transactions!G$18:G$46)</f>
        <v>0</v>
      </c>
      <c r="J141" s="28">
        <f t="shared" si="5"/>
        <v>0</v>
      </c>
      <c r="K141" s="28">
        <f t="shared" si="6"/>
        <v>0</v>
      </c>
      <c r="L141" s="32"/>
      <c r="M141" s="28">
        <f>SUMIF(Transactions!$K$19:$K$46,'Percentage Calc'!$E141,Transactions!L$19:L$46)</f>
        <v>0</v>
      </c>
      <c r="N141" s="28">
        <f>SUMIF(Transactions!$K$19:$K$46,'Percentage Calc'!$E141,Transactions!M$19:M$46)</f>
        <v>0</v>
      </c>
      <c r="O141" s="28">
        <f>SUMIF(Transactions!$K$19:$K$46,'Percentage Calc'!$E141,Transactions!N$19:N$46)</f>
        <v>0</v>
      </c>
      <c r="P141" s="28">
        <f>SUMIF(Transactions!$K$19:$K$46,'Percentage Calc'!$E141,Transactions!O$19:O$46)</f>
        <v>0</v>
      </c>
      <c r="Q141" s="28">
        <f>SUMIF(Transactions!$K$19:$K$46,'Percentage Calc'!$E141,Transactions!P$19:P$46)</f>
        <v>0</v>
      </c>
      <c r="R141" s="28">
        <f t="shared" si="7"/>
        <v>0</v>
      </c>
      <c r="S141" s="28">
        <f t="shared" si="8"/>
        <v>0</v>
      </c>
    </row>
    <row r="142" spans="1:19" x14ac:dyDescent="0.35">
      <c r="A142" s="9"/>
      <c r="B142" s="32"/>
      <c r="C142" s="28">
        <f>IF(Check!$B$87=1,1,IF(R142&lt;1,0,1))</f>
        <v>1</v>
      </c>
      <c r="D142" s="28">
        <f t="shared" si="9"/>
        <v>1</v>
      </c>
      <c r="E142" s="32">
        <v>45966</v>
      </c>
      <c r="F142" s="28">
        <f>SUMIF(Transactions!$C$18:$C$46,'Percentage Calc'!$E142,Transactions!D$18:D$46)</f>
        <v>0</v>
      </c>
      <c r="G142" s="28">
        <f>SUMIF(Transactions!$C$18:$C$46,'Percentage Calc'!$E142,Transactions!E$18:E$46)</f>
        <v>0</v>
      </c>
      <c r="H142" s="28">
        <f>SUMIF(Transactions!$C$18:$C$46,'Percentage Calc'!$E142,Transactions!F$18:F$46)</f>
        <v>0</v>
      </c>
      <c r="I142" s="28">
        <f>SUMIF(Transactions!$C$18:$C$46,'Percentage Calc'!$E142,Transactions!G$18:G$46)</f>
        <v>0</v>
      </c>
      <c r="J142" s="28">
        <f t="shared" si="5"/>
        <v>0</v>
      </c>
      <c r="K142" s="28">
        <f t="shared" si="6"/>
        <v>0</v>
      </c>
      <c r="L142" s="32"/>
      <c r="M142" s="28">
        <f>SUMIF(Transactions!$K$19:$K$46,'Percentage Calc'!$E142,Transactions!L$19:L$46)</f>
        <v>0</v>
      </c>
      <c r="N142" s="28">
        <f>SUMIF(Transactions!$K$19:$K$46,'Percentage Calc'!$E142,Transactions!M$19:M$46)</f>
        <v>0</v>
      </c>
      <c r="O142" s="28">
        <f>SUMIF(Transactions!$K$19:$K$46,'Percentage Calc'!$E142,Transactions!N$19:N$46)</f>
        <v>0</v>
      </c>
      <c r="P142" s="28">
        <f>SUMIF(Transactions!$K$19:$K$46,'Percentage Calc'!$E142,Transactions!O$19:O$46)</f>
        <v>0</v>
      </c>
      <c r="Q142" s="28">
        <f>SUMIF(Transactions!$K$19:$K$46,'Percentage Calc'!$E142,Transactions!P$19:P$46)</f>
        <v>0</v>
      </c>
      <c r="R142" s="28">
        <f t="shared" si="7"/>
        <v>0</v>
      </c>
      <c r="S142" s="28">
        <f t="shared" si="8"/>
        <v>0</v>
      </c>
    </row>
    <row r="143" spans="1:19" x14ac:dyDescent="0.35">
      <c r="A143" s="9"/>
      <c r="B143" s="32"/>
      <c r="C143" s="28">
        <f>IF(Check!$B$87=1,1,IF(R143&lt;1,0,1))</f>
        <v>1</v>
      </c>
      <c r="D143" s="28">
        <f t="shared" si="9"/>
        <v>1</v>
      </c>
      <c r="E143" s="32">
        <v>45967</v>
      </c>
      <c r="F143" s="28">
        <f>SUMIF(Transactions!$C$18:$C$46,'Percentage Calc'!$E143,Transactions!D$18:D$46)</f>
        <v>0</v>
      </c>
      <c r="G143" s="28">
        <f>SUMIF(Transactions!$C$18:$C$46,'Percentage Calc'!$E143,Transactions!E$18:E$46)</f>
        <v>0</v>
      </c>
      <c r="H143" s="28">
        <f>SUMIF(Transactions!$C$18:$C$46,'Percentage Calc'!$E143,Transactions!F$18:F$46)</f>
        <v>0</v>
      </c>
      <c r="I143" s="28">
        <f>SUMIF(Transactions!$C$18:$C$46,'Percentage Calc'!$E143,Transactions!G$18:G$46)</f>
        <v>0</v>
      </c>
      <c r="J143" s="28">
        <f t="shared" si="5"/>
        <v>0</v>
      </c>
      <c r="K143" s="28">
        <f t="shared" si="6"/>
        <v>0</v>
      </c>
      <c r="L143" s="32"/>
      <c r="M143" s="28">
        <f>SUMIF(Transactions!$K$19:$K$46,'Percentage Calc'!$E143,Transactions!L$19:L$46)</f>
        <v>0</v>
      </c>
      <c r="N143" s="28">
        <f>SUMIF(Transactions!$K$19:$K$46,'Percentage Calc'!$E143,Transactions!M$19:M$46)</f>
        <v>0</v>
      </c>
      <c r="O143" s="28">
        <f>SUMIF(Transactions!$K$19:$K$46,'Percentage Calc'!$E143,Transactions!N$19:N$46)</f>
        <v>0</v>
      </c>
      <c r="P143" s="28">
        <f>SUMIF(Transactions!$K$19:$K$46,'Percentage Calc'!$E143,Transactions!O$19:O$46)</f>
        <v>0</v>
      </c>
      <c r="Q143" s="28">
        <f>SUMIF(Transactions!$K$19:$K$46,'Percentage Calc'!$E143,Transactions!P$19:P$46)</f>
        <v>0</v>
      </c>
      <c r="R143" s="28">
        <f t="shared" si="7"/>
        <v>0</v>
      </c>
      <c r="S143" s="28">
        <f t="shared" si="8"/>
        <v>0</v>
      </c>
    </row>
    <row r="144" spans="1:19" x14ac:dyDescent="0.35">
      <c r="A144" s="9"/>
      <c r="B144" s="32"/>
      <c r="C144" s="28">
        <f>IF(Check!$B$87=1,1,IF(R144&lt;1,0,1))</f>
        <v>1</v>
      </c>
      <c r="D144" s="28">
        <f t="shared" si="9"/>
        <v>1</v>
      </c>
      <c r="E144" s="32">
        <v>45968</v>
      </c>
      <c r="F144" s="28">
        <f>SUMIF(Transactions!$C$18:$C$46,'Percentage Calc'!$E144,Transactions!D$18:D$46)</f>
        <v>0</v>
      </c>
      <c r="G144" s="28">
        <f>SUMIF(Transactions!$C$18:$C$46,'Percentage Calc'!$E144,Transactions!E$18:E$46)</f>
        <v>0</v>
      </c>
      <c r="H144" s="28">
        <f>SUMIF(Transactions!$C$18:$C$46,'Percentage Calc'!$E144,Transactions!F$18:F$46)</f>
        <v>0</v>
      </c>
      <c r="I144" s="28">
        <f>SUMIF(Transactions!$C$18:$C$46,'Percentage Calc'!$E144,Transactions!G$18:G$46)</f>
        <v>0</v>
      </c>
      <c r="J144" s="28">
        <f t="shared" ref="J144:J207" si="10">SUM(F144:I144)+J143</f>
        <v>0</v>
      </c>
      <c r="K144" s="28">
        <f t="shared" ref="K144:K198" si="11">ROUND($C144*J144/$E$4,3)</f>
        <v>0</v>
      </c>
      <c r="L144" s="32"/>
      <c r="M144" s="28">
        <f>SUMIF(Transactions!$K$19:$K$46,'Percentage Calc'!$E144,Transactions!L$19:L$46)</f>
        <v>0</v>
      </c>
      <c r="N144" s="28">
        <f>SUMIF(Transactions!$K$19:$K$46,'Percentage Calc'!$E144,Transactions!M$19:M$46)</f>
        <v>0</v>
      </c>
      <c r="O144" s="28">
        <f>SUMIF(Transactions!$K$19:$K$46,'Percentage Calc'!$E144,Transactions!N$19:N$46)</f>
        <v>0</v>
      </c>
      <c r="P144" s="28">
        <f>SUMIF(Transactions!$K$19:$K$46,'Percentage Calc'!$E144,Transactions!O$19:O$46)</f>
        <v>0</v>
      </c>
      <c r="Q144" s="28">
        <f>SUMIF(Transactions!$K$19:$K$46,'Percentage Calc'!$E144,Transactions!P$19:P$46)</f>
        <v>0</v>
      </c>
      <c r="R144" s="28">
        <f t="shared" ref="R144:R207" si="12">SUM(M144:Q144)+R143</f>
        <v>0</v>
      </c>
      <c r="S144" s="28">
        <f t="shared" ref="S144:S207" si="13">ROUND($C144*R144/$E$4,3)</f>
        <v>0</v>
      </c>
    </row>
    <row r="145" spans="1:19" x14ac:dyDescent="0.35">
      <c r="A145" s="9"/>
      <c r="B145" s="32"/>
      <c r="C145" s="28">
        <f>IF(Check!$B$87=1,1,IF(R145&lt;1,0,1))</f>
        <v>1</v>
      </c>
      <c r="D145" s="28">
        <f t="shared" ref="D145:D208" si="14">IF(C145&lt;&gt;C144,D144+1,D144)</f>
        <v>1</v>
      </c>
      <c r="E145" s="32">
        <v>45969</v>
      </c>
      <c r="F145" s="28">
        <f>SUMIF(Transactions!$C$18:$C$46,'Percentage Calc'!$E145,Transactions!D$18:D$46)</f>
        <v>0</v>
      </c>
      <c r="G145" s="28">
        <f>SUMIF(Transactions!$C$18:$C$46,'Percentage Calc'!$E145,Transactions!E$18:E$46)</f>
        <v>0</v>
      </c>
      <c r="H145" s="28">
        <f>SUMIF(Transactions!$C$18:$C$46,'Percentage Calc'!$E145,Transactions!F$18:F$46)</f>
        <v>0</v>
      </c>
      <c r="I145" s="28">
        <f>SUMIF(Transactions!$C$18:$C$46,'Percentage Calc'!$E145,Transactions!G$18:G$46)</f>
        <v>0</v>
      </c>
      <c r="J145" s="28">
        <f t="shared" si="10"/>
        <v>0</v>
      </c>
      <c r="K145" s="28">
        <f t="shared" si="11"/>
        <v>0</v>
      </c>
      <c r="L145" s="32"/>
      <c r="M145" s="28">
        <f>SUMIF(Transactions!$K$19:$K$46,'Percentage Calc'!$E145,Transactions!L$19:L$46)</f>
        <v>0</v>
      </c>
      <c r="N145" s="28">
        <f>SUMIF(Transactions!$K$19:$K$46,'Percentage Calc'!$E145,Transactions!M$19:M$46)</f>
        <v>0</v>
      </c>
      <c r="O145" s="28">
        <f>SUMIF(Transactions!$K$19:$K$46,'Percentage Calc'!$E145,Transactions!N$19:N$46)</f>
        <v>0</v>
      </c>
      <c r="P145" s="28">
        <f>SUMIF(Transactions!$K$19:$K$46,'Percentage Calc'!$E145,Transactions!O$19:O$46)</f>
        <v>0</v>
      </c>
      <c r="Q145" s="28">
        <f>SUMIF(Transactions!$K$19:$K$46,'Percentage Calc'!$E145,Transactions!P$19:P$46)</f>
        <v>0</v>
      </c>
      <c r="R145" s="28">
        <f t="shared" si="12"/>
        <v>0</v>
      </c>
      <c r="S145" s="28">
        <f t="shared" si="13"/>
        <v>0</v>
      </c>
    </row>
    <row r="146" spans="1:19" x14ac:dyDescent="0.35">
      <c r="A146" s="9"/>
      <c r="B146" s="32"/>
      <c r="C146" s="28">
        <f>IF(Check!$B$87=1,1,IF(R146&lt;1,0,1))</f>
        <v>1</v>
      </c>
      <c r="D146" s="28">
        <f t="shared" si="14"/>
        <v>1</v>
      </c>
      <c r="E146" s="32">
        <v>45970</v>
      </c>
      <c r="F146" s="28">
        <f>SUMIF(Transactions!$C$18:$C$46,'Percentage Calc'!$E146,Transactions!D$18:D$46)</f>
        <v>0</v>
      </c>
      <c r="G146" s="28">
        <f>SUMIF(Transactions!$C$18:$C$46,'Percentage Calc'!$E146,Transactions!E$18:E$46)</f>
        <v>0</v>
      </c>
      <c r="H146" s="28">
        <f>SUMIF(Transactions!$C$18:$C$46,'Percentage Calc'!$E146,Transactions!F$18:F$46)</f>
        <v>0</v>
      </c>
      <c r="I146" s="28">
        <f>SUMIF(Transactions!$C$18:$C$46,'Percentage Calc'!$E146,Transactions!G$18:G$46)</f>
        <v>0</v>
      </c>
      <c r="J146" s="28">
        <f t="shared" si="10"/>
        <v>0</v>
      </c>
      <c r="K146" s="28">
        <f t="shared" si="11"/>
        <v>0</v>
      </c>
      <c r="L146" s="32"/>
      <c r="M146" s="28">
        <f>SUMIF(Transactions!$K$19:$K$46,'Percentage Calc'!$E146,Transactions!L$19:L$46)</f>
        <v>0</v>
      </c>
      <c r="N146" s="28">
        <f>SUMIF(Transactions!$K$19:$K$46,'Percentage Calc'!$E146,Transactions!M$19:M$46)</f>
        <v>0</v>
      </c>
      <c r="O146" s="28">
        <f>SUMIF(Transactions!$K$19:$K$46,'Percentage Calc'!$E146,Transactions!N$19:N$46)</f>
        <v>0</v>
      </c>
      <c r="P146" s="28">
        <f>SUMIF(Transactions!$K$19:$K$46,'Percentage Calc'!$E146,Transactions!O$19:O$46)</f>
        <v>0</v>
      </c>
      <c r="Q146" s="28">
        <f>SUMIF(Transactions!$K$19:$K$46,'Percentage Calc'!$E146,Transactions!P$19:P$46)</f>
        <v>0</v>
      </c>
      <c r="R146" s="28">
        <f t="shared" si="12"/>
        <v>0</v>
      </c>
      <c r="S146" s="28">
        <f t="shared" si="13"/>
        <v>0</v>
      </c>
    </row>
    <row r="147" spans="1:19" x14ac:dyDescent="0.35">
      <c r="A147" s="9"/>
      <c r="B147" s="32"/>
      <c r="C147" s="28">
        <f>IF(Check!$B$87=1,1,IF(R147&lt;1,0,1))</f>
        <v>1</v>
      </c>
      <c r="D147" s="28">
        <f t="shared" si="14"/>
        <v>1</v>
      </c>
      <c r="E147" s="32">
        <v>45971</v>
      </c>
      <c r="F147" s="28">
        <f>SUMIF(Transactions!$C$18:$C$46,'Percentage Calc'!$E147,Transactions!D$18:D$46)</f>
        <v>0</v>
      </c>
      <c r="G147" s="28">
        <f>SUMIF(Transactions!$C$18:$C$46,'Percentage Calc'!$E147,Transactions!E$18:E$46)</f>
        <v>0</v>
      </c>
      <c r="H147" s="28">
        <f>SUMIF(Transactions!$C$18:$C$46,'Percentage Calc'!$E147,Transactions!F$18:F$46)</f>
        <v>0</v>
      </c>
      <c r="I147" s="28">
        <f>SUMIF(Transactions!$C$18:$C$46,'Percentage Calc'!$E147,Transactions!G$18:G$46)</f>
        <v>0</v>
      </c>
      <c r="J147" s="28">
        <f t="shared" si="10"/>
        <v>0</v>
      </c>
      <c r="K147" s="28">
        <f t="shared" si="11"/>
        <v>0</v>
      </c>
      <c r="L147" s="32"/>
      <c r="M147" s="28">
        <f>SUMIF(Transactions!$K$19:$K$46,'Percentage Calc'!$E147,Transactions!L$19:L$46)</f>
        <v>0</v>
      </c>
      <c r="N147" s="28">
        <f>SUMIF(Transactions!$K$19:$K$46,'Percentage Calc'!$E147,Transactions!M$19:M$46)</f>
        <v>0</v>
      </c>
      <c r="O147" s="28">
        <f>SUMIF(Transactions!$K$19:$K$46,'Percentage Calc'!$E147,Transactions!N$19:N$46)</f>
        <v>0</v>
      </c>
      <c r="P147" s="28">
        <f>SUMIF(Transactions!$K$19:$K$46,'Percentage Calc'!$E147,Transactions!O$19:O$46)</f>
        <v>0</v>
      </c>
      <c r="Q147" s="28">
        <f>SUMIF(Transactions!$K$19:$K$46,'Percentage Calc'!$E147,Transactions!P$19:P$46)</f>
        <v>0</v>
      </c>
      <c r="R147" s="28">
        <f t="shared" si="12"/>
        <v>0</v>
      </c>
      <c r="S147" s="28">
        <f t="shared" si="13"/>
        <v>0</v>
      </c>
    </row>
    <row r="148" spans="1:19" x14ac:dyDescent="0.35">
      <c r="A148" s="9"/>
      <c r="B148" s="32"/>
      <c r="C148" s="28">
        <f>IF(Check!$B$87=1,1,IF(R148&lt;1,0,1))</f>
        <v>1</v>
      </c>
      <c r="D148" s="28">
        <f t="shared" si="14"/>
        <v>1</v>
      </c>
      <c r="E148" s="32">
        <v>45972</v>
      </c>
      <c r="F148" s="28">
        <f>SUMIF(Transactions!$C$18:$C$46,'Percentage Calc'!$E148,Transactions!D$18:D$46)</f>
        <v>0</v>
      </c>
      <c r="G148" s="28">
        <f>SUMIF(Transactions!$C$18:$C$46,'Percentage Calc'!$E148,Transactions!E$18:E$46)</f>
        <v>0</v>
      </c>
      <c r="H148" s="28">
        <f>SUMIF(Transactions!$C$18:$C$46,'Percentage Calc'!$E148,Transactions!F$18:F$46)</f>
        <v>0</v>
      </c>
      <c r="I148" s="28">
        <f>SUMIF(Transactions!$C$18:$C$46,'Percentage Calc'!$E148,Transactions!G$18:G$46)</f>
        <v>0</v>
      </c>
      <c r="J148" s="28">
        <f t="shared" si="10"/>
        <v>0</v>
      </c>
      <c r="K148" s="28">
        <f t="shared" si="11"/>
        <v>0</v>
      </c>
      <c r="L148" s="32"/>
      <c r="M148" s="28">
        <f>SUMIF(Transactions!$K$19:$K$46,'Percentage Calc'!$E148,Transactions!L$19:L$46)</f>
        <v>0</v>
      </c>
      <c r="N148" s="28">
        <f>SUMIF(Transactions!$K$19:$K$46,'Percentage Calc'!$E148,Transactions!M$19:M$46)</f>
        <v>0</v>
      </c>
      <c r="O148" s="28">
        <f>SUMIF(Transactions!$K$19:$K$46,'Percentage Calc'!$E148,Transactions!N$19:N$46)</f>
        <v>0</v>
      </c>
      <c r="P148" s="28">
        <f>SUMIF(Transactions!$K$19:$K$46,'Percentage Calc'!$E148,Transactions!O$19:O$46)</f>
        <v>0</v>
      </c>
      <c r="Q148" s="28">
        <f>SUMIF(Transactions!$K$19:$K$46,'Percentage Calc'!$E148,Transactions!P$19:P$46)</f>
        <v>0</v>
      </c>
      <c r="R148" s="28">
        <f t="shared" si="12"/>
        <v>0</v>
      </c>
      <c r="S148" s="28">
        <f t="shared" si="13"/>
        <v>0</v>
      </c>
    </row>
    <row r="149" spans="1:19" x14ac:dyDescent="0.35">
      <c r="A149" s="9"/>
      <c r="B149" s="32"/>
      <c r="C149" s="28">
        <f>IF(Check!$B$87=1,1,IF(R149&lt;1,0,1))</f>
        <v>1</v>
      </c>
      <c r="D149" s="28">
        <f t="shared" si="14"/>
        <v>1</v>
      </c>
      <c r="E149" s="32">
        <v>45973</v>
      </c>
      <c r="F149" s="28">
        <f>SUMIF(Transactions!$C$18:$C$46,'Percentage Calc'!$E149,Transactions!D$18:D$46)</f>
        <v>0</v>
      </c>
      <c r="G149" s="28">
        <f>SUMIF(Transactions!$C$18:$C$46,'Percentage Calc'!$E149,Transactions!E$18:E$46)</f>
        <v>0</v>
      </c>
      <c r="H149" s="28">
        <f>SUMIF(Transactions!$C$18:$C$46,'Percentage Calc'!$E149,Transactions!F$18:F$46)</f>
        <v>0</v>
      </c>
      <c r="I149" s="28">
        <f>SUMIF(Transactions!$C$18:$C$46,'Percentage Calc'!$E149,Transactions!G$18:G$46)</f>
        <v>0</v>
      </c>
      <c r="J149" s="28">
        <f t="shared" si="10"/>
        <v>0</v>
      </c>
      <c r="K149" s="28">
        <f t="shared" si="11"/>
        <v>0</v>
      </c>
      <c r="L149" s="32"/>
      <c r="M149" s="28">
        <f>SUMIF(Transactions!$K$19:$K$46,'Percentage Calc'!$E149,Transactions!L$19:L$46)</f>
        <v>0</v>
      </c>
      <c r="N149" s="28">
        <f>SUMIF(Transactions!$K$19:$K$46,'Percentage Calc'!$E149,Transactions!M$19:M$46)</f>
        <v>0</v>
      </c>
      <c r="O149" s="28">
        <f>SUMIF(Transactions!$K$19:$K$46,'Percentage Calc'!$E149,Transactions!N$19:N$46)</f>
        <v>0</v>
      </c>
      <c r="P149" s="28">
        <f>SUMIF(Transactions!$K$19:$K$46,'Percentage Calc'!$E149,Transactions!O$19:O$46)</f>
        <v>0</v>
      </c>
      <c r="Q149" s="28">
        <f>SUMIF(Transactions!$K$19:$K$46,'Percentage Calc'!$E149,Transactions!P$19:P$46)</f>
        <v>0</v>
      </c>
      <c r="R149" s="28">
        <f t="shared" si="12"/>
        <v>0</v>
      </c>
      <c r="S149" s="28">
        <f t="shared" si="13"/>
        <v>0</v>
      </c>
    </row>
    <row r="150" spans="1:19" x14ac:dyDescent="0.35">
      <c r="A150" s="9"/>
      <c r="B150" s="32"/>
      <c r="C150" s="28">
        <f>IF(Check!$B$87=1,1,IF(R150&lt;1,0,1))</f>
        <v>1</v>
      </c>
      <c r="D150" s="28">
        <f t="shared" si="14"/>
        <v>1</v>
      </c>
      <c r="E150" s="32">
        <v>45974</v>
      </c>
      <c r="F150" s="28">
        <f>SUMIF(Transactions!$C$18:$C$46,'Percentage Calc'!$E150,Transactions!D$18:D$46)</f>
        <v>0</v>
      </c>
      <c r="G150" s="28">
        <f>SUMIF(Transactions!$C$18:$C$46,'Percentage Calc'!$E150,Transactions!E$18:E$46)</f>
        <v>0</v>
      </c>
      <c r="H150" s="28">
        <f>SUMIF(Transactions!$C$18:$C$46,'Percentage Calc'!$E150,Transactions!F$18:F$46)</f>
        <v>0</v>
      </c>
      <c r="I150" s="28">
        <f>SUMIF(Transactions!$C$18:$C$46,'Percentage Calc'!$E150,Transactions!G$18:G$46)</f>
        <v>0</v>
      </c>
      <c r="J150" s="28">
        <f t="shared" si="10"/>
        <v>0</v>
      </c>
      <c r="K150" s="28">
        <f t="shared" si="11"/>
        <v>0</v>
      </c>
      <c r="L150" s="32"/>
      <c r="M150" s="28">
        <f>SUMIF(Transactions!$K$19:$K$46,'Percentage Calc'!$E150,Transactions!L$19:L$46)</f>
        <v>0</v>
      </c>
      <c r="N150" s="28">
        <f>SUMIF(Transactions!$K$19:$K$46,'Percentage Calc'!$E150,Transactions!M$19:M$46)</f>
        <v>0</v>
      </c>
      <c r="O150" s="28">
        <f>SUMIF(Transactions!$K$19:$K$46,'Percentage Calc'!$E150,Transactions!N$19:N$46)</f>
        <v>0</v>
      </c>
      <c r="P150" s="28">
        <f>SUMIF(Transactions!$K$19:$K$46,'Percentage Calc'!$E150,Transactions!O$19:O$46)</f>
        <v>0</v>
      </c>
      <c r="Q150" s="28">
        <f>SUMIF(Transactions!$K$19:$K$46,'Percentage Calc'!$E150,Transactions!P$19:P$46)</f>
        <v>0</v>
      </c>
      <c r="R150" s="28">
        <f t="shared" si="12"/>
        <v>0</v>
      </c>
      <c r="S150" s="28">
        <f t="shared" si="13"/>
        <v>0</v>
      </c>
    </row>
    <row r="151" spans="1:19" x14ac:dyDescent="0.35">
      <c r="A151" s="9"/>
      <c r="B151" s="32"/>
      <c r="C151" s="28">
        <f>IF(Check!$B$87=1,1,IF(R151&lt;1,0,1))</f>
        <v>1</v>
      </c>
      <c r="D151" s="28">
        <f t="shared" si="14"/>
        <v>1</v>
      </c>
      <c r="E151" s="32">
        <v>45975</v>
      </c>
      <c r="F151" s="28">
        <f>SUMIF(Transactions!$C$18:$C$46,'Percentage Calc'!$E151,Transactions!D$18:D$46)</f>
        <v>0</v>
      </c>
      <c r="G151" s="28">
        <f>SUMIF(Transactions!$C$18:$C$46,'Percentage Calc'!$E151,Transactions!E$18:E$46)</f>
        <v>0</v>
      </c>
      <c r="H151" s="28">
        <f>SUMIF(Transactions!$C$18:$C$46,'Percentage Calc'!$E151,Transactions!F$18:F$46)</f>
        <v>0</v>
      </c>
      <c r="I151" s="28">
        <f>SUMIF(Transactions!$C$18:$C$46,'Percentage Calc'!$E151,Transactions!G$18:G$46)</f>
        <v>0</v>
      </c>
      <c r="J151" s="28">
        <f t="shared" si="10"/>
        <v>0</v>
      </c>
      <c r="K151" s="28">
        <f t="shared" si="11"/>
        <v>0</v>
      </c>
      <c r="L151" s="32"/>
      <c r="M151" s="28">
        <f>SUMIF(Transactions!$K$19:$K$46,'Percentage Calc'!$E151,Transactions!L$19:L$46)</f>
        <v>0</v>
      </c>
      <c r="N151" s="28">
        <f>SUMIF(Transactions!$K$19:$K$46,'Percentage Calc'!$E151,Transactions!M$19:M$46)</f>
        <v>0</v>
      </c>
      <c r="O151" s="28">
        <f>SUMIF(Transactions!$K$19:$K$46,'Percentage Calc'!$E151,Transactions!N$19:N$46)</f>
        <v>0</v>
      </c>
      <c r="P151" s="28">
        <f>SUMIF(Transactions!$K$19:$K$46,'Percentage Calc'!$E151,Transactions!O$19:O$46)</f>
        <v>0</v>
      </c>
      <c r="Q151" s="28">
        <f>SUMIF(Transactions!$K$19:$K$46,'Percentage Calc'!$E151,Transactions!P$19:P$46)</f>
        <v>0</v>
      </c>
      <c r="R151" s="28">
        <f t="shared" si="12"/>
        <v>0</v>
      </c>
      <c r="S151" s="28">
        <f t="shared" si="13"/>
        <v>0</v>
      </c>
    </row>
    <row r="152" spans="1:19" x14ac:dyDescent="0.35">
      <c r="A152" s="9"/>
      <c r="B152" s="32"/>
      <c r="C152" s="28">
        <f>IF(Check!$B$87=1,1,IF(R152&lt;1,0,1))</f>
        <v>1</v>
      </c>
      <c r="D152" s="28">
        <f t="shared" si="14"/>
        <v>1</v>
      </c>
      <c r="E152" s="32">
        <v>45976</v>
      </c>
      <c r="F152" s="28">
        <f>SUMIF(Transactions!$C$18:$C$46,'Percentage Calc'!$E152,Transactions!D$18:D$46)</f>
        <v>0</v>
      </c>
      <c r="G152" s="28">
        <f>SUMIF(Transactions!$C$18:$C$46,'Percentage Calc'!$E152,Transactions!E$18:E$46)</f>
        <v>0</v>
      </c>
      <c r="H152" s="28">
        <f>SUMIF(Transactions!$C$18:$C$46,'Percentage Calc'!$E152,Transactions!F$18:F$46)</f>
        <v>0</v>
      </c>
      <c r="I152" s="28">
        <f>SUMIF(Transactions!$C$18:$C$46,'Percentage Calc'!$E152,Transactions!G$18:G$46)</f>
        <v>0</v>
      </c>
      <c r="J152" s="28">
        <f t="shared" si="10"/>
        <v>0</v>
      </c>
      <c r="K152" s="28">
        <f t="shared" si="11"/>
        <v>0</v>
      </c>
      <c r="L152" s="32"/>
      <c r="M152" s="28">
        <f>SUMIF(Transactions!$K$19:$K$46,'Percentage Calc'!$E152,Transactions!L$19:L$46)</f>
        <v>0</v>
      </c>
      <c r="N152" s="28">
        <f>SUMIF(Transactions!$K$19:$K$46,'Percentage Calc'!$E152,Transactions!M$19:M$46)</f>
        <v>0</v>
      </c>
      <c r="O152" s="28">
        <f>SUMIF(Transactions!$K$19:$K$46,'Percentage Calc'!$E152,Transactions!N$19:N$46)</f>
        <v>0</v>
      </c>
      <c r="P152" s="28">
        <f>SUMIF(Transactions!$K$19:$K$46,'Percentage Calc'!$E152,Transactions!O$19:O$46)</f>
        <v>0</v>
      </c>
      <c r="Q152" s="28">
        <f>SUMIF(Transactions!$K$19:$K$46,'Percentage Calc'!$E152,Transactions!P$19:P$46)</f>
        <v>0</v>
      </c>
      <c r="R152" s="28">
        <f t="shared" si="12"/>
        <v>0</v>
      </c>
      <c r="S152" s="28">
        <f t="shared" si="13"/>
        <v>0</v>
      </c>
    </row>
    <row r="153" spans="1:19" x14ac:dyDescent="0.35">
      <c r="A153" s="9"/>
      <c r="B153" s="32"/>
      <c r="C153" s="28">
        <f>IF(Check!$B$87=1,1,IF(R153&lt;1,0,1))</f>
        <v>1</v>
      </c>
      <c r="D153" s="28">
        <f t="shared" si="14"/>
        <v>1</v>
      </c>
      <c r="E153" s="32">
        <v>45977</v>
      </c>
      <c r="F153" s="28">
        <f>SUMIF(Transactions!$C$18:$C$46,'Percentage Calc'!$E153,Transactions!D$18:D$46)</f>
        <v>0</v>
      </c>
      <c r="G153" s="28">
        <f>SUMIF(Transactions!$C$18:$C$46,'Percentage Calc'!$E153,Transactions!E$18:E$46)</f>
        <v>0</v>
      </c>
      <c r="H153" s="28">
        <f>SUMIF(Transactions!$C$18:$C$46,'Percentage Calc'!$E153,Transactions!F$18:F$46)</f>
        <v>0</v>
      </c>
      <c r="I153" s="28">
        <f>SUMIF(Transactions!$C$18:$C$46,'Percentage Calc'!$E153,Transactions!G$18:G$46)</f>
        <v>0</v>
      </c>
      <c r="J153" s="28">
        <f t="shared" si="10"/>
        <v>0</v>
      </c>
      <c r="K153" s="28">
        <f t="shared" si="11"/>
        <v>0</v>
      </c>
      <c r="L153" s="32"/>
      <c r="M153" s="28">
        <f>SUMIF(Transactions!$K$19:$K$46,'Percentage Calc'!$E153,Transactions!L$19:L$46)</f>
        <v>0</v>
      </c>
      <c r="N153" s="28">
        <f>SUMIF(Transactions!$K$19:$K$46,'Percentage Calc'!$E153,Transactions!M$19:M$46)</f>
        <v>0</v>
      </c>
      <c r="O153" s="28">
        <f>SUMIF(Transactions!$K$19:$K$46,'Percentage Calc'!$E153,Transactions!N$19:N$46)</f>
        <v>0</v>
      </c>
      <c r="P153" s="28">
        <f>SUMIF(Transactions!$K$19:$K$46,'Percentage Calc'!$E153,Transactions!O$19:O$46)</f>
        <v>0</v>
      </c>
      <c r="Q153" s="28">
        <f>SUMIF(Transactions!$K$19:$K$46,'Percentage Calc'!$E153,Transactions!P$19:P$46)</f>
        <v>0</v>
      </c>
      <c r="R153" s="28">
        <f t="shared" si="12"/>
        <v>0</v>
      </c>
      <c r="S153" s="28">
        <f t="shared" si="13"/>
        <v>0</v>
      </c>
    </row>
    <row r="154" spans="1:19" x14ac:dyDescent="0.35">
      <c r="A154" s="9"/>
      <c r="B154" s="32"/>
      <c r="C154" s="28">
        <f>IF(Check!$B$87=1,1,IF(R154&lt;1,0,1))</f>
        <v>1</v>
      </c>
      <c r="D154" s="28">
        <f t="shared" si="14"/>
        <v>1</v>
      </c>
      <c r="E154" s="32">
        <v>45978</v>
      </c>
      <c r="F154" s="28">
        <f>SUMIF(Transactions!$C$18:$C$46,'Percentage Calc'!$E154,Transactions!D$18:D$46)</f>
        <v>0</v>
      </c>
      <c r="G154" s="28">
        <f>SUMIF(Transactions!$C$18:$C$46,'Percentage Calc'!$E154,Transactions!E$18:E$46)</f>
        <v>0</v>
      </c>
      <c r="H154" s="28">
        <f>SUMIF(Transactions!$C$18:$C$46,'Percentage Calc'!$E154,Transactions!F$18:F$46)</f>
        <v>0</v>
      </c>
      <c r="I154" s="28">
        <f>SUMIF(Transactions!$C$18:$C$46,'Percentage Calc'!$E154,Transactions!G$18:G$46)</f>
        <v>0</v>
      </c>
      <c r="J154" s="28">
        <f t="shared" si="10"/>
        <v>0</v>
      </c>
      <c r="K154" s="28">
        <f t="shared" si="11"/>
        <v>0</v>
      </c>
      <c r="L154" s="32"/>
      <c r="M154" s="28">
        <f>SUMIF(Transactions!$K$19:$K$46,'Percentage Calc'!$E154,Transactions!L$19:L$46)</f>
        <v>0</v>
      </c>
      <c r="N154" s="28">
        <f>SUMIF(Transactions!$K$19:$K$46,'Percentage Calc'!$E154,Transactions!M$19:M$46)</f>
        <v>0</v>
      </c>
      <c r="O154" s="28">
        <f>SUMIF(Transactions!$K$19:$K$46,'Percentage Calc'!$E154,Transactions!N$19:N$46)</f>
        <v>0</v>
      </c>
      <c r="P154" s="28">
        <f>SUMIF(Transactions!$K$19:$K$46,'Percentage Calc'!$E154,Transactions!O$19:O$46)</f>
        <v>0</v>
      </c>
      <c r="Q154" s="28">
        <f>SUMIF(Transactions!$K$19:$K$46,'Percentage Calc'!$E154,Transactions!P$19:P$46)</f>
        <v>0</v>
      </c>
      <c r="R154" s="28">
        <f t="shared" si="12"/>
        <v>0</v>
      </c>
      <c r="S154" s="28">
        <f t="shared" si="13"/>
        <v>0</v>
      </c>
    </row>
    <row r="155" spans="1:19" x14ac:dyDescent="0.35">
      <c r="A155" s="9"/>
      <c r="B155" s="32"/>
      <c r="C155" s="28">
        <f>IF(Check!$B$87=1,1,IF(R155&lt;1,0,1))</f>
        <v>1</v>
      </c>
      <c r="D155" s="28">
        <f t="shared" si="14"/>
        <v>1</v>
      </c>
      <c r="E155" s="32">
        <v>45979</v>
      </c>
      <c r="F155" s="28">
        <f>SUMIF(Transactions!$C$18:$C$46,'Percentage Calc'!$E155,Transactions!D$18:D$46)</f>
        <v>0</v>
      </c>
      <c r="G155" s="28">
        <f>SUMIF(Transactions!$C$18:$C$46,'Percentage Calc'!$E155,Transactions!E$18:E$46)</f>
        <v>0</v>
      </c>
      <c r="H155" s="28">
        <f>SUMIF(Transactions!$C$18:$C$46,'Percentage Calc'!$E155,Transactions!F$18:F$46)</f>
        <v>0</v>
      </c>
      <c r="I155" s="28">
        <f>SUMIF(Transactions!$C$18:$C$46,'Percentage Calc'!$E155,Transactions!G$18:G$46)</f>
        <v>0</v>
      </c>
      <c r="J155" s="28">
        <f t="shared" si="10"/>
        <v>0</v>
      </c>
      <c r="K155" s="28">
        <f t="shared" si="11"/>
        <v>0</v>
      </c>
      <c r="L155" s="32"/>
      <c r="M155" s="28">
        <f>SUMIF(Transactions!$K$19:$K$46,'Percentage Calc'!$E155,Transactions!L$19:L$46)</f>
        <v>0</v>
      </c>
      <c r="N155" s="28">
        <f>SUMIF(Transactions!$K$19:$K$46,'Percentage Calc'!$E155,Transactions!M$19:M$46)</f>
        <v>0</v>
      </c>
      <c r="O155" s="28">
        <f>SUMIF(Transactions!$K$19:$K$46,'Percentage Calc'!$E155,Transactions!N$19:N$46)</f>
        <v>0</v>
      </c>
      <c r="P155" s="28">
        <f>SUMIF(Transactions!$K$19:$K$46,'Percentage Calc'!$E155,Transactions!O$19:O$46)</f>
        <v>0</v>
      </c>
      <c r="Q155" s="28">
        <f>SUMIF(Transactions!$K$19:$K$46,'Percentage Calc'!$E155,Transactions!P$19:P$46)</f>
        <v>0</v>
      </c>
      <c r="R155" s="28">
        <f t="shared" si="12"/>
        <v>0</v>
      </c>
      <c r="S155" s="28">
        <f t="shared" si="13"/>
        <v>0</v>
      </c>
    </row>
    <row r="156" spans="1:19" x14ac:dyDescent="0.35">
      <c r="A156" s="9"/>
      <c r="B156" s="32"/>
      <c r="C156" s="28">
        <f>IF(Check!$B$87=1,1,IF(R156&lt;1,0,1))</f>
        <v>1</v>
      </c>
      <c r="D156" s="28">
        <f t="shared" si="14"/>
        <v>1</v>
      </c>
      <c r="E156" s="32">
        <v>45980</v>
      </c>
      <c r="F156" s="28">
        <f>SUMIF(Transactions!$C$18:$C$46,'Percentage Calc'!$E156,Transactions!D$18:D$46)</f>
        <v>0</v>
      </c>
      <c r="G156" s="28">
        <f>SUMIF(Transactions!$C$18:$C$46,'Percentage Calc'!$E156,Transactions!E$18:E$46)</f>
        <v>0</v>
      </c>
      <c r="H156" s="28">
        <f>SUMIF(Transactions!$C$18:$C$46,'Percentage Calc'!$E156,Transactions!F$18:F$46)</f>
        <v>0</v>
      </c>
      <c r="I156" s="28">
        <f>SUMIF(Transactions!$C$18:$C$46,'Percentage Calc'!$E156,Transactions!G$18:G$46)</f>
        <v>0</v>
      </c>
      <c r="J156" s="28">
        <f t="shared" si="10"/>
        <v>0</v>
      </c>
      <c r="K156" s="28">
        <f t="shared" si="11"/>
        <v>0</v>
      </c>
      <c r="L156" s="32"/>
      <c r="M156" s="28">
        <f>SUMIF(Transactions!$K$19:$K$46,'Percentage Calc'!$E156,Transactions!L$19:L$46)</f>
        <v>0</v>
      </c>
      <c r="N156" s="28">
        <f>SUMIF(Transactions!$K$19:$K$46,'Percentage Calc'!$E156,Transactions!M$19:M$46)</f>
        <v>0</v>
      </c>
      <c r="O156" s="28">
        <f>SUMIF(Transactions!$K$19:$K$46,'Percentage Calc'!$E156,Transactions!N$19:N$46)</f>
        <v>0</v>
      </c>
      <c r="P156" s="28">
        <f>SUMIF(Transactions!$K$19:$K$46,'Percentage Calc'!$E156,Transactions!O$19:O$46)</f>
        <v>0</v>
      </c>
      <c r="Q156" s="28">
        <f>SUMIF(Transactions!$K$19:$K$46,'Percentage Calc'!$E156,Transactions!P$19:P$46)</f>
        <v>0</v>
      </c>
      <c r="R156" s="28">
        <f t="shared" si="12"/>
        <v>0</v>
      </c>
      <c r="S156" s="28">
        <f t="shared" si="13"/>
        <v>0</v>
      </c>
    </row>
    <row r="157" spans="1:19" x14ac:dyDescent="0.35">
      <c r="A157" s="9"/>
      <c r="B157" s="32"/>
      <c r="C157" s="28">
        <f>IF(Check!$B$87=1,1,IF(R157&lt;1,0,1))</f>
        <v>1</v>
      </c>
      <c r="D157" s="28">
        <f t="shared" si="14"/>
        <v>1</v>
      </c>
      <c r="E157" s="32">
        <v>45981</v>
      </c>
      <c r="F157" s="28">
        <f>SUMIF(Transactions!$C$18:$C$46,'Percentage Calc'!$E157,Transactions!D$18:D$46)</f>
        <v>0</v>
      </c>
      <c r="G157" s="28">
        <f>SUMIF(Transactions!$C$18:$C$46,'Percentage Calc'!$E157,Transactions!E$18:E$46)</f>
        <v>0</v>
      </c>
      <c r="H157" s="28">
        <f>SUMIF(Transactions!$C$18:$C$46,'Percentage Calc'!$E157,Transactions!F$18:F$46)</f>
        <v>0</v>
      </c>
      <c r="I157" s="28">
        <f>SUMIF(Transactions!$C$18:$C$46,'Percentage Calc'!$E157,Transactions!G$18:G$46)</f>
        <v>0</v>
      </c>
      <c r="J157" s="28">
        <f t="shared" si="10"/>
        <v>0</v>
      </c>
      <c r="K157" s="28">
        <f t="shared" si="11"/>
        <v>0</v>
      </c>
      <c r="L157" s="32"/>
      <c r="M157" s="28">
        <f>SUMIF(Transactions!$K$19:$K$46,'Percentage Calc'!$E157,Transactions!L$19:L$46)</f>
        <v>0</v>
      </c>
      <c r="N157" s="28">
        <f>SUMIF(Transactions!$K$19:$K$46,'Percentage Calc'!$E157,Transactions!M$19:M$46)</f>
        <v>0</v>
      </c>
      <c r="O157" s="28">
        <f>SUMIF(Transactions!$K$19:$K$46,'Percentage Calc'!$E157,Transactions!N$19:N$46)</f>
        <v>0</v>
      </c>
      <c r="P157" s="28">
        <f>SUMIF(Transactions!$K$19:$K$46,'Percentage Calc'!$E157,Transactions!O$19:O$46)</f>
        <v>0</v>
      </c>
      <c r="Q157" s="28">
        <f>SUMIF(Transactions!$K$19:$K$46,'Percentage Calc'!$E157,Transactions!P$19:P$46)</f>
        <v>0</v>
      </c>
      <c r="R157" s="28">
        <f t="shared" si="12"/>
        <v>0</v>
      </c>
      <c r="S157" s="28">
        <f t="shared" si="13"/>
        <v>0</v>
      </c>
    </row>
    <row r="158" spans="1:19" x14ac:dyDescent="0.35">
      <c r="A158" s="9"/>
      <c r="B158" s="32"/>
      <c r="C158" s="28">
        <f>IF(Check!$B$87=1,1,IF(R158&lt;1,0,1))</f>
        <v>1</v>
      </c>
      <c r="D158" s="28">
        <f t="shared" si="14"/>
        <v>1</v>
      </c>
      <c r="E158" s="32">
        <v>45982</v>
      </c>
      <c r="F158" s="28">
        <f>SUMIF(Transactions!$C$18:$C$46,'Percentage Calc'!$E158,Transactions!D$18:D$46)</f>
        <v>0</v>
      </c>
      <c r="G158" s="28">
        <f>SUMIF(Transactions!$C$18:$C$46,'Percentage Calc'!$E158,Transactions!E$18:E$46)</f>
        <v>0</v>
      </c>
      <c r="H158" s="28">
        <f>SUMIF(Transactions!$C$18:$C$46,'Percentage Calc'!$E158,Transactions!F$18:F$46)</f>
        <v>0</v>
      </c>
      <c r="I158" s="28">
        <f>SUMIF(Transactions!$C$18:$C$46,'Percentage Calc'!$E158,Transactions!G$18:G$46)</f>
        <v>0</v>
      </c>
      <c r="J158" s="28">
        <f t="shared" si="10"/>
        <v>0</v>
      </c>
      <c r="K158" s="28">
        <f t="shared" si="11"/>
        <v>0</v>
      </c>
      <c r="L158" s="32"/>
      <c r="M158" s="28">
        <f>SUMIF(Transactions!$K$19:$K$46,'Percentage Calc'!$E158,Transactions!L$19:L$46)</f>
        <v>0</v>
      </c>
      <c r="N158" s="28">
        <f>SUMIF(Transactions!$K$19:$K$46,'Percentage Calc'!$E158,Transactions!M$19:M$46)</f>
        <v>0</v>
      </c>
      <c r="O158" s="28">
        <f>SUMIF(Transactions!$K$19:$K$46,'Percentage Calc'!$E158,Transactions!N$19:N$46)</f>
        <v>0</v>
      </c>
      <c r="P158" s="28">
        <f>SUMIF(Transactions!$K$19:$K$46,'Percentage Calc'!$E158,Transactions!O$19:O$46)</f>
        <v>0</v>
      </c>
      <c r="Q158" s="28">
        <f>SUMIF(Transactions!$K$19:$K$46,'Percentage Calc'!$E158,Transactions!P$19:P$46)</f>
        <v>0</v>
      </c>
      <c r="R158" s="28">
        <f t="shared" si="12"/>
        <v>0</v>
      </c>
      <c r="S158" s="28">
        <f t="shared" si="13"/>
        <v>0</v>
      </c>
    </row>
    <row r="159" spans="1:19" x14ac:dyDescent="0.35">
      <c r="A159" s="9"/>
      <c r="B159" s="32"/>
      <c r="C159" s="28">
        <f>IF(Check!$B$87=1,1,IF(R159&lt;1,0,1))</f>
        <v>1</v>
      </c>
      <c r="D159" s="28">
        <f t="shared" si="14"/>
        <v>1</v>
      </c>
      <c r="E159" s="32">
        <v>45983</v>
      </c>
      <c r="F159" s="28">
        <f>SUMIF(Transactions!$C$18:$C$46,'Percentage Calc'!$E159,Transactions!D$18:D$46)</f>
        <v>0</v>
      </c>
      <c r="G159" s="28">
        <f>SUMIF(Transactions!$C$18:$C$46,'Percentage Calc'!$E159,Transactions!E$18:E$46)</f>
        <v>0</v>
      </c>
      <c r="H159" s="28">
        <f>SUMIF(Transactions!$C$18:$C$46,'Percentage Calc'!$E159,Transactions!F$18:F$46)</f>
        <v>0</v>
      </c>
      <c r="I159" s="28">
        <f>SUMIF(Transactions!$C$18:$C$46,'Percentage Calc'!$E159,Transactions!G$18:G$46)</f>
        <v>0</v>
      </c>
      <c r="J159" s="28">
        <f t="shared" si="10"/>
        <v>0</v>
      </c>
      <c r="K159" s="28">
        <f t="shared" si="11"/>
        <v>0</v>
      </c>
      <c r="L159" s="32"/>
      <c r="M159" s="28">
        <f>SUMIF(Transactions!$K$19:$K$46,'Percentage Calc'!$E159,Transactions!L$19:L$46)</f>
        <v>0</v>
      </c>
      <c r="N159" s="28">
        <f>SUMIF(Transactions!$K$19:$K$46,'Percentage Calc'!$E159,Transactions!M$19:M$46)</f>
        <v>0</v>
      </c>
      <c r="O159" s="28">
        <f>SUMIF(Transactions!$K$19:$K$46,'Percentage Calc'!$E159,Transactions!N$19:N$46)</f>
        <v>0</v>
      </c>
      <c r="P159" s="28">
        <f>SUMIF(Transactions!$K$19:$K$46,'Percentage Calc'!$E159,Transactions!O$19:O$46)</f>
        <v>0</v>
      </c>
      <c r="Q159" s="28">
        <f>SUMIF(Transactions!$K$19:$K$46,'Percentage Calc'!$E159,Transactions!P$19:P$46)</f>
        <v>0</v>
      </c>
      <c r="R159" s="28">
        <f t="shared" si="12"/>
        <v>0</v>
      </c>
      <c r="S159" s="28">
        <f t="shared" si="13"/>
        <v>0</v>
      </c>
    </row>
    <row r="160" spans="1:19" x14ac:dyDescent="0.35">
      <c r="A160" s="9"/>
      <c r="B160" s="32"/>
      <c r="C160" s="28">
        <f>IF(Check!$B$87=1,1,IF(R160&lt;1,0,1))</f>
        <v>1</v>
      </c>
      <c r="D160" s="28">
        <f t="shared" si="14"/>
        <v>1</v>
      </c>
      <c r="E160" s="32">
        <v>45984</v>
      </c>
      <c r="F160" s="28">
        <f>SUMIF(Transactions!$C$18:$C$46,'Percentage Calc'!$E160,Transactions!D$18:D$46)</f>
        <v>0</v>
      </c>
      <c r="G160" s="28">
        <f>SUMIF(Transactions!$C$18:$C$46,'Percentage Calc'!$E160,Transactions!E$18:E$46)</f>
        <v>0</v>
      </c>
      <c r="H160" s="28">
        <f>SUMIF(Transactions!$C$18:$C$46,'Percentage Calc'!$E160,Transactions!F$18:F$46)</f>
        <v>0</v>
      </c>
      <c r="I160" s="28">
        <f>SUMIF(Transactions!$C$18:$C$46,'Percentage Calc'!$E160,Transactions!G$18:G$46)</f>
        <v>0</v>
      </c>
      <c r="J160" s="28">
        <f t="shared" si="10"/>
        <v>0</v>
      </c>
      <c r="K160" s="28">
        <f t="shared" si="11"/>
        <v>0</v>
      </c>
      <c r="L160" s="32"/>
      <c r="M160" s="28">
        <f>SUMIF(Transactions!$K$19:$K$46,'Percentage Calc'!$E160,Transactions!L$19:L$46)</f>
        <v>0</v>
      </c>
      <c r="N160" s="28">
        <f>SUMIF(Transactions!$K$19:$K$46,'Percentage Calc'!$E160,Transactions!M$19:M$46)</f>
        <v>0</v>
      </c>
      <c r="O160" s="28">
        <f>SUMIF(Transactions!$K$19:$K$46,'Percentage Calc'!$E160,Transactions!N$19:N$46)</f>
        <v>0</v>
      </c>
      <c r="P160" s="28">
        <f>SUMIF(Transactions!$K$19:$K$46,'Percentage Calc'!$E160,Transactions!O$19:O$46)</f>
        <v>0</v>
      </c>
      <c r="Q160" s="28">
        <f>SUMIF(Transactions!$K$19:$K$46,'Percentage Calc'!$E160,Transactions!P$19:P$46)</f>
        <v>0</v>
      </c>
      <c r="R160" s="28">
        <f t="shared" si="12"/>
        <v>0</v>
      </c>
      <c r="S160" s="28">
        <f t="shared" si="13"/>
        <v>0</v>
      </c>
    </row>
    <row r="161" spans="1:19" x14ac:dyDescent="0.35">
      <c r="A161" s="9"/>
      <c r="B161" s="32"/>
      <c r="C161" s="28">
        <f>IF(Check!$B$87=1,1,IF(R161&lt;1,0,1))</f>
        <v>1</v>
      </c>
      <c r="D161" s="28">
        <f t="shared" si="14"/>
        <v>1</v>
      </c>
      <c r="E161" s="32">
        <v>45985</v>
      </c>
      <c r="F161" s="28">
        <f>SUMIF(Transactions!$C$18:$C$46,'Percentage Calc'!$E161,Transactions!D$18:D$46)</f>
        <v>0</v>
      </c>
      <c r="G161" s="28">
        <f>SUMIF(Transactions!$C$18:$C$46,'Percentage Calc'!$E161,Transactions!E$18:E$46)</f>
        <v>0</v>
      </c>
      <c r="H161" s="28">
        <f>SUMIF(Transactions!$C$18:$C$46,'Percentage Calc'!$E161,Transactions!F$18:F$46)</f>
        <v>0</v>
      </c>
      <c r="I161" s="28">
        <f>SUMIF(Transactions!$C$18:$C$46,'Percentage Calc'!$E161,Transactions!G$18:G$46)</f>
        <v>0</v>
      </c>
      <c r="J161" s="28">
        <f t="shared" si="10"/>
        <v>0</v>
      </c>
      <c r="K161" s="28">
        <f t="shared" si="11"/>
        <v>0</v>
      </c>
      <c r="L161" s="32"/>
      <c r="M161" s="28">
        <f>SUMIF(Transactions!$K$19:$K$46,'Percentage Calc'!$E161,Transactions!L$19:L$46)</f>
        <v>0</v>
      </c>
      <c r="N161" s="28">
        <f>SUMIF(Transactions!$K$19:$K$46,'Percentage Calc'!$E161,Transactions!M$19:M$46)</f>
        <v>0</v>
      </c>
      <c r="O161" s="28">
        <f>SUMIF(Transactions!$K$19:$K$46,'Percentage Calc'!$E161,Transactions!N$19:N$46)</f>
        <v>0</v>
      </c>
      <c r="P161" s="28">
        <f>SUMIF(Transactions!$K$19:$K$46,'Percentage Calc'!$E161,Transactions!O$19:O$46)</f>
        <v>0</v>
      </c>
      <c r="Q161" s="28">
        <f>SUMIF(Transactions!$K$19:$K$46,'Percentage Calc'!$E161,Transactions!P$19:P$46)</f>
        <v>0</v>
      </c>
      <c r="R161" s="28">
        <f t="shared" si="12"/>
        <v>0</v>
      </c>
      <c r="S161" s="28">
        <f t="shared" si="13"/>
        <v>0</v>
      </c>
    </row>
    <row r="162" spans="1:19" x14ac:dyDescent="0.35">
      <c r="A162" s="9"/>
      <c r="B162" s="32"/>
      <c r="C162" s="28">
        <f>IF(Check!$B$87=1,1,IF(R162&lt;1,0,1))</f>
        <v>1</v>
      </c>
      <c r="D162" s="28">
        <f t="shared" si="14"/>
        <v>1</v>
      </c>
      <c r="E162" s="32">
        <v>45986</v>
      </c>
      <c r="F162" s="28">
        <f>SUMIF(Transactions!$C$18:$C$46,'Percentage Calc'!$E162,Transactions!D$18:D$46)</f>
        <v>0</v>
      </c>
      <c r="G162" s="28">
        <f>SUMIF(Transactions!$C$18:$C$46,'Percentage Calc'!$E162,Transactions!E$18:E$46)</f>
        <v>0</v>
      </c>
      <c r="H162" s="28">
        <f>SUMIF(Transactions!$C$18:$C$46,'Percentage Calc'!$E162,Transactions!F$18:F$46)</f>
        <v>0</v>
      </c>
      <c r="I162" s="28">
        <f>SUMIF(Transactions!$C$18:$C$46,'Percentage Calc'!$E162,Transactions!G$18:G$46)</f>
        <v>0</v>
      </c>
      <c r="J162" s="28">
        <f t="shared" si="10"/>
        <v>0</v>
      </c>
      <c r="K162" s="28">
        <f t="shared" si="11"/>
        <v>0</v>
      </c>
      <c r="L162" s="32"/>
      <c r="M162" s="28">
        <f>SUMIF(Transactions!$K$19:$K$46,'Percentage Calc'!$E162,Transactions!L$19:L$46)</f>
        <v>0</v>
      </c>
      <c r="N162" s="28">
        <f>SUMIF(Transactions!$K$19:$K$46,'Percentage Calc'!$E162,Transactions!M$19:M$46)</f>
        <v>0</v>
      </c>
      <c r="O162" s="28">
        <f>SUMIF(Transactions!$K$19:$K$46,'Percentage Calc'!$E162,Transactions!N$19:N$46)</f>
        <v>0</v>
      </c>
      <c r="P162" s="28">
        <f>SUMIF(Transactions!$K$19:$K$46,'Percentage Calc'!$E162,Transactions!O$19:O$46)</f>
        <v>0</v>
      </c>
      <c r="Q162" s="28">
        <f>SUMIF(Transactions!$K$19:$K$46,'Percentage Calc'!$E162,Transactions!P$19:P$46)</f>
        <v>0</v>
      </c>
      <c r="R162" s="28">
        <f t="shared" si="12"/>
        <v>0</v>
      </c>
      <c r="S162" s="28">
        <f t="shared" si="13"/>
        <v>0</v>
      </c>
    </row>
    <row r="163" spans="1:19" x14ac:dyDescent="0.35">
      <c r="A163" s="9"/>
      <c r="B163" s="32"/>
      <c r="C163" s="28">
        <f>IF(Check!$B$87=1,1,IF(R163&lt;1,0,1))</f>
        <v>1</v>
      </c>
      <c r="D163" s="28">
        <f t="shared" si="14"/>
        <v>1</v>
      </c>
      <c r="E163" s="32">
        <v>45987</v>
      </c>
      <c r="F163" s="28">
        <f>SUMIF(Transactions!$C$18:$C$46,'Percentage Calc'!$E163,Transactions!D$18:D$46)</f>
        <v>0</v>
      </c>
      <c r="G163" s="28">
        <f>SUMIF(Transactions!$C$18:$C$46,'Percentage Calc'!$E163,Transactions!E$18:E$46)</f>
        <v>0</v>
      </c>
      <c r="H163" s="28">
        <f>SUMIF(Transactions!$C$18:$C$46,'Percentage Calc'!$E163,Transactions!F$18:F$46)</f>
        <v>0</v>
      </c>
      <c r="I163" s="28">
        <f>SUMIF(Transactions!$C$18:$C$46,'Percentage Calc'!$E163,Transactions!G$18:G$46)</f>
        <v>0</v>
      </c>
      <c r="J163" s="28">
        <f t="shared" si="10"/>
        <v>0</v>
      </c>
      <c r="K163" s="28">
        <f t="shared" si="11"/>
        <v>0</v>
      </c>
      <c r="L163" s="32"/>
      <c r="M163" s="28">
        <f>SUMIF(Transactions!$K$19:$K$46,'Percentage Calc'!$E163,Transactions!L$19:L$46)</f>
        <v>0</v>
      </c>
      <c r="N163" s="28">
        <f>SUMIF(Transactions!$K$19:$K$46,'Percentage Calc'!$E163,Transactions!M$19:M$46)</f>
        <v>0</v>
      </c>
      <c r="O163" s="28">
        <f>SUMIF(Transactions!$K$19:$K$46,'Percentage Calc'!$E163,Transactions!N$19:N$46)</f>
        <v>0</v>
      </c>
      <c r="P163" s="28">
        <f>SUMIF(Transactions!$K$19:$K$46,'Percentage Calc'!$E163,Transactions!O$19:O$46)</f>
        <v>0</v>
      </c>
      <c r="Q163" s="28">
        <f>SUMIF(Transactions!$K$19:$K$46,'Percentage Calc'!$E163,Transactions!P$19:P$46)</f>
        <v>0</v>
      </c>
      <c r="R163" s="28">
        <f t="shared" si="12"/>
        <v>0</v>
      </c>
      <c r="S163" s="28">
        <f t="shared" si="13"/>
        <v>0</v>
      </c>
    </row>
    <row r="164" spans="1:19" x14ac:dyDescent="0.35">
      <c r="A164" s="9"/>
      <c r="B164" s="32"/>
      <c r="C164" s="28">
        <f>IF(Check!$B$87=1,1,IF(R164&lt;1,0,1))</f>
        <v>1</v>
      </c>
      <c r="D164" s="28">
        <f t="shared" si="14"/>
        <v>1</v>
      </c>
      <c r="E164" s="32">
        <v>45988</v>
      </c>
      <c r="F164" s="28">
        <f>SUMIF(Transactions!$C$18:$C$46,'Percentage Calc'!$E164,Transactions!D$18:D$46)</f>
        <v>0</v>
      </c>
      <c r="G164" s="28">
        <f>SUMIF(Transactions!$C$18:$C$46,'Percentage Calc'!$E164,Transactions!E$18:E$46)</f>
        <v>0</v>
      </c>
      <c r="H164" s="28">
        <f>SUMIF(Transactions!$C$18:$C$46,'Percentage Calc'!$E164,Transactions!F$18:F$46)</f>
        <v>0</v>
      </c>
      <c r="I164" s="28">
        <f>SUMIF(Transactions!$C$18:$C$46,'Percentage Calc'!$E164,Transactions!G$18:G$46)</f>
        <v>0</v>
      </c>
      <c r="J164" s="28">
        <f t="shared" si="10"/>
        <v>0</v>
      </c>
      <c r="K164" s="28">
        <f t="shared" si="11"/>
        <v>0</v>
      </c>
      <c r="L164" s="32"/>
      <c r="M164" s="28">
        <f>SUMIF(Transactions!$K$19:$K$46,'Percentage Calc'!$E164,Transactions!L$19:L$46)</f>
        <v>0</v>
      </c>
      <c r="N164" s="28">
        <f>SUMIF(Transactions!$K$19:$K$46,'Percentage Calc'!$E164,Transactions!M$19:M$46)</f>
        <v>0</v>
      </c>
      <c r="O164" s="28">
        <f>SUMIF(Transactions!$K$19:$K$46,'Percentage Calc'!$E164,Transactions!N$19:N$46)</f>
        <v>0</v>
      </c>
      <c r="P164" s="28">
        <f>SUMIF(Transactions!$K$19:$K$46,'Percentage Calc'!$E164,Transactions!O$19:O$46)</f>
        <v>0</v>
      </c>
      <c r="Q164" s="28">
        <f>SUMIF(Transactions!$K$19:$K$46,'Percentage Calc'!$E164,Transactions!P$19:P$46)</f>
        <v>0</v>
      </c>
      <c r="R164" s="28">
        <f t="shared" si="12"/>
        <v>0</v>
      </c>
      <c r="S164" s="28">
        <f t="shared" si="13"/>
        <v>0</v>
      </c>
    </row>
    <row r="165" spans="1:19" x14ac:dyDescent="0.35">
      <c r="A165" s="9"/>
      <c r="B165" s="32"/>
      <c r="C165" s="28">
        <f>IF(Check!$B$87=1,1,IF(R165&lt;1,0,1))</f>
        <v>1</v>
      </c>
      <c r="D165" s="28">
        <f t="shared" si="14"/>
        <v>1</v>
      </c>
      <c r="E165" s="32">
        <v>45989</v>
      </c>
      <c r="F165" s="28">
        <f>SUMIF(Transactions!$C$18:$C$46,'Percentage Calc'!$E165,Transactions!D$18:D$46)</f>
        <v>0</v>
      </c>
      <c r="G165" s="28">
        <f>SUMIF(Transactions!$C$18:$C$46,'Percentage Calc'!$E165,Transactions!E$18:E$46)</f>
        <v>0</v>
      </c>
      <c r="H165" s="28">
        <f>SUMIF(Transactions!$C$18:$C$46,'Percentage Calc'!$E165,Transactions!F$18:F$46)</f>
        <v>0</v>
      </c>
      <c r="I165" s="28">
        <f>SUMIF(Transactions!$C$18:$C$46,'Percentage Calc'!$E165,Transactions!G$18:G$46)</f>
        <v>0</v>
      </c>
      <c r="J165" s="28">
        <f t="shared" si="10"/>
        <v>0</v>
      </c>
      <c r="K165" s="28">
        <f t="shared" si="11"/>
        <v>0</v>
      </c>
      <c r="L165" s="32"/>
      <c r="M165" s="28">
        <f>SUMIF(Transactions!$K$19:$K$46,'Percentage Calc'!$E165,Transactions!L$19:L$46)</f>
        <v>0</v>
      </c>
      <c r="N165" s="28">
        <f>SUMIF(Transactions!$K$19:$K$46,'Percentage Calc'!$E165,Transactions!M$19:M$46)</f>
        <v>0</v>
      </c>
      <c r="O165" s="28">
        <f>SUMIF(Transactions!$K$19:$K$46,'Percentage Calc'!$E165,Transactions!N$19:N$46)</f>
        <v>0</v>
      </c>
      <c r="P165" s="28">
        <f>SUMIF(Transactions!$K$19:$K$46,'Percentage Calc'!$E165,Transactions!O$19:O$46)</f>
        <v>0</v>
      </c>
      <c r="Q165" s="28">
        <f>SUMIF(Transactions!$K$19:$K$46,'Percentage Calc'!$E165,Transactions!P$19:P$46)</f>
        <v>0</v>
      </c>
      <c r="R165" s="28">
        <f t="shared" si="12"/>
        <v>0</v>
      </c>
      <c r="S165" s="28">
        <f t="shared" si="13"/>
        <v>0</v>
      </c>
    </row>
    <row r="166" spans="1:19" x14ac:dyDescent="0.35">
      <c r="A166" s="9"/>
      <c r="B166" s="32"/>
      <c r="C166" s="28">
        <f>IF(Check!$B$87=1,1,IF(R166&lt;1,0,1))</f>
        <v>1</v>
      </c>
      <c r="D166" s="28">
        <f t="shared" si="14"/>
        <v>1</v>
      </c>
      <c r="E166" s="32">
        <v>45990</v>
      </c>
      <c r="F166" s="28">
        <f>SUMIF(Transactions!$C$18:$C$46,'Percentage Calc'!$E166,Transactions!D$18:D$46)</f>
        <v>0</v>
      </c>
      <c r="G166" s="28">
        <f>SUMIF(Transactions!$C$18:$C$46,'Percentage Calc'!$E166,Transactions!E$18:E$46)</f>
        <v>0</v>
      </c>
      <c r="H166" s="28">
        <f>SUMIF(Transactions!$C$18:$C$46,'Percentage Calc'!$E166,Transactions!F$18:F$46)</f>
        <v>0</v>
      </c>
      <c r="I166" s="28">
        <f>SUMIF(Transactions!$C$18:$C$46,'Percentage Calc'!$E166,Transactions!G$18:G$46)</f>
        <v>0</v>
      </c>
      <c r="J166" s="28">
        <f t="shared" si="10"/>
        <v>0</v>
      </c>
      <c r="K166" s="28">
        <f t="shared" si="11"/>
        <v>0</v>
      </c>
      <c r="L166" s="32"/>
      <c r="M166" s="28">
        <f>SUMIF(Transactions!$K$19:$K$46,'Percentage Calc'!$E166,Transactions!L$19:L$46)</f>
        <v>0</v>
      </c>
      <c r="N166" s="28">
        <f>SUMIF(Transactions!$K$19:$K$46,'Percentage Calc'!$E166,Transactions!M$19:M$46)</f>
        <v>0</v>
      </c>
      <c r="O166" s="28">
        <f>SUMIF(Transactions!$K$19:$K$46,'Percentage Calc'!$E166,Transactions!N$19:N$46)</f>
        <v>0</v>
      </c>
      <c r="P166" s="28">
        <f>SUMIF(Transactions!$K$19:$K$46,'Percentage Calc'!$E166,Transactions!O$19:O$46)</f>
        <v>0</v>
      </c>
      <c r="Q166" s="28">
        <f>SUMIF(Transactions!$K$19:$K$46,'Percentage Calc'!$E166,Transactions!P$19:P$46)</f>
        <v>0</v>
      </c>
      <c r="R166" s="28">
        <f t="shared" si="12"/>
        <v>0</v>
      </c>
      <c r="S166" s="28">
        <f t="shared" si="13"/>
        <v>0</v>
      </c>
    </row>
    <row r="167" spans="1:19" x14ac:dyDescent="0.35">
      <c r="A167" s="9"/>
      <c r="B167" s="32"/>
      <c r="C167" s="28">
        <f>IF(Check!$B$87=1,1,IF(R167&lt;1,0,1))</f>
        <v>1</v>
      </c>
      <c r="D167" s="28">
        <f t="shared" si="14"/>
        <v>1</v>
      </c>
      <c r="E167" s="32">
        <v>45991</v>
      </c>
      <c r="F167" s="28">
        <f>SUMIF(Transactions!$C$18:$C$46,'Percentage Calc'!$E167,Transactions!D$18:D$46)</f>
        <v>0</v>
      </c>
      <c r="G167" s="28">
        <f>SUMIF(Transactions!$C$18:$C$46,'Percentage Calc'!$E167,Transactions!E$18:E$46)</f>
        <v>0</v>
      </c>
      <c r="H167" s="28">
        <f>SUMIF(Transactions!$C$18:$C$46,'Percentage Calc'!$E167,Transactions!F$18:F$46)</f>
        <v>0</v>
      </c>
      <c r="I167" s="28">
        <f>SUMIF(Transactions!$C$18:$C$46,'Percentage Calc'!$E167,Transactions!G$18:G$46)</f>
        <v>0</v>
      </c>
      <c r="J167" s="28">
        <f t="shared" si="10"/>
        <v>0</v>
      </c>
      <c r="K167" s="28">
        <f t="shared" si="11"/>
        <v>0</v>
      </c>
      <c r="L167" s="32"/>
      <c r="M167" s="28">
        <f>SUMIF(Transactions!$K$19:$K$46,'Percentage Calc'!$E167,Transactions!L$19:L$46)</f>
        <v>0</v>
      </c>
      <c r="N167" s="28">
        <f>SUMIF(Transactions!$K$19:$K$46,'Percentage Calc'!$E167,Transactions!M$19:M$46)</f>
        <v>0</v>
      </c>
      <c r="O167" s="28">
        <f>SUMIF(Transactions!$K$19:$K$46,'Percentage Calc'!$E167,Transactions!N$19:N$46)</f>
        <v>0</v>
      </c>
      <c r="P167" s="28">
        <f>SUMIF(Transactions!$K$19:$K$46,'Percentage Calc'!$E167,Transactions!O$19:O$46)</f>
        <v>0</v>
      </c>
      <c r="Q167" s="28">
        <f>SUMIF(Transactions!$K$19:$K$46,'Percentage Calc'!$E167,Transactions!P$19:P$46)</f>
        <v>0</v>
      </c>
      <c r="R167" s="28">
        <f t="shared" si="12"/>
        <v>0</v>
      </c>
      <c r="S167" s="28">
        <f t="shared" si="13"/>
        <v>0</v>
      </c>
    </row>
    <row r="168" spans="1:19" x14ac:dyDescent="0.35">
      <c r="A168" s="9"/>
      <c r="B168" s="32"/>
      <c r="C168" s="28">
        <f>IF(Check!$B$87=1,1,IF(R168&lt;1,0,1))</f>
        <v>1</v>
      </c>
      <c r="D168" s="28">
        <f t="shared" si="14"/>
        <v>1</v>
      </c>
      <c r="E168" s="32">
        <v>45992</v>
      </c>
      <c r="F168" s="28">
        <f>SUMIF(Transactions!$C$18:$C$46,'Percentage Calc'!$E168,Transactions!D$18:D$46)</f>
        <v>0</v>
      </c>
      <c r="G168" s="28">
        <f>SUMIF(Transactions!$C$18:$C$46,'Percentage Calc'!$E168,Transactions!E$18:E$46)</f>
        <v>0</v>
      </c>
      <c r="H168" s="28">
        <f>SUMIF(Transactions!$C$18:$C$46,'Percentage Calc'!$E168,Transactions!F$18:F$46)</f>
        <v>0</v>
      </c>
      <c r="I168" s="28">
        <f>SUMIF(Transactions!$C$18:$C$46,'Percentage Calc'!$E168,Transactions!G$18:G$46)</f>
        <v>0</v>
      </c>
      <c r="J168" s="28">
        <f t="shared" si="10"/>
        <v>0</v>
      </c>
      <c r="K168" s="28">
        <f t="shared" si="11"/>
        <v>0</v>
      </c>
      <c r="L168" s="32"/>
      <c r="M168" s="28">
        <f>SUMIF(Transactions!$K$19:$K$46,'Percentage Calc'!$E168,Transactions!L$19:L$46)</f>
        <v>0</v>
      </c>
      <c r="N168" s="28">
        <f>SUMIF(Transactions!$K$19:$K$46,'Percentage Calc'!$E168,Transactions!M$19:M$46)</f>
        <v>0</v>
      </c>
      <c r="O168" s="28">
        <f>SUMIF(Transactions!$K$19:$K$46,'Percentage Calc'!$E168,Transactions!N$19:N$46)</f>
        <v>0</v>
      </c>
      <c r="P168" s="28">
        <f>SUMIF(Transactions!$K$19:$K$46,'Percentage Calc'!$E168,Transactions!O$19:O$46)</f>
        <v>0</v>
      </c>
      <c r="Q168" s="28">
        <f>SUMIF(Transactions!$K$19:$K$46,'Percentage Calc'!$E168,Transactions!P$19:P$46)</f>
        <v>0</v>
      </c>
      <c r="R168" s="28">
        <f t="shared" si="12"/>
        <v>0</v>
      </c>
      <c r="S168" s="28">
        <f t="shared" si="13"/>
        <v>0</v>
      </c>
    </row>
    <row r="169" spans="1:19" x14ac:dyDescent="0.35">
      <c r="A169" s="9"/>
      <c r="B169" s="32"/>
      <c r="C169" s="28">
        <f>IF(Check!$B$87=1,1,IF(R169&lt;1,0,1))</f>
        <v>1</v>
      </c>
      <c r="D169" s="28">
        <f t="shared" si="14"/>
        <v>1</v>
      </c>
      <c r="E169" s="32">
        <v>45993</v>
      </c>
      <c r="F169" s="28">
        <f>SUMIF(Transactions!$C$18:$C$46,'Percentage Calc'!$E169,Transactions!D$18:D$46)</f>
        <v>0</v>
      </c>
      <c r="G169" s="28">
        <f>SUMIF(Transactions!$C$18:$C$46,'Percentage Calc'!$E169,Transactions!E$18:E$46)</f>
        <v>0</v>
      </c>
      <c r="H169" s="28">
        <f>SUMIF(Transactions!$C$18:$C$46,'Percentage Calc'!$E169,Transactions!F$18:F$46)</f>
        <v>0</v>
      </c>
      <c r="I169" s="28">
        <f>SUMIF(Transactions!$C$18:$C$46,'Percentage Calc'!$E169,Transactions!G$18:G$46)</f>
        <v>0</v>
      </c>
      <c r="J169" s="28">
        <f t="shared" si="10"/>
        <v>0</v>
      </c>
      <c r="K169" s="28">
        <f t="shared" si="11"/>
        <v>0</v>
      </c>
      <c r="L169" s="32"/>
      <c r="M169" s="28">
        <f>SUMIF(Transactions!$K$19:$K$46,'Percentage Calc'!$E169,Transactions!L$19:L$46)</f>
        <v>0</v>
      </c>
      <c r="N169" s="28">
        <f>SUMIF(Transactions!$K$19:$K$46,'Percentage Calc'!$E169,Transactions!M$19:M$46)</f>
        <v>0</v>
      </c>
      <c r="O169" s="28">
        <f>SUMIF(Transactions!$K$19:$K$46,'Percentage Calc'!$E169,Transactions!N$19:N$46)</f>
        <v>0</v>
      </c>
      <c r="P169" s="28">
        <f>SUMIF(Transactions!$K$19:$K$46,'Percentage Calc'!$E169,Transactions!O$19:O$46)</f>
        <v>0</v>
      </c>
      <c r="Q169" s="28">
        <f>SUMIF(Transactions!$K$19:$K$46,'Percentage Calc'!$E169,Transactions!P$19:P$46)</f>
        <v>0</v>
      </c>
      <c r="R169" s="28">
        <f t="shared" si="12"/>
        <v>0</v>
      </c>
      <c r="S169" s="28">
        <f t="shared" si="13"/>
        <v>0</v>
      </c>
    </row>
    <row r="170" spans="1:19" x14ac:dyDescent="0.35">
      <c r="A170" s="9"/>
      <c r="B170" s="32"/>
      <c r="C170" s="28">
        <f>IF(Check!$B$87=1,1,IF(R170&lt;1,0,1))</f>
        <v>1</v>
      </c>
      <c r="D170" s="28">
        <f t="shared" si="14"/>
        <v>1</v>
      </c>
      <c r="E170" s="32">
        <v>45994</v>
      </c>
      <c r="F170" s="28">
        <f>SUMIF(Transactions!$C$18:$C$46,'Percentage Calc'!$E170,Transactions!D$18:D$46)</f>
        <v>0</v>
      </c>
      <c r="G170" s="28">
        <f>SUMIF(Transactions!$C$18:$C$46,'Percentage Calc'!$E170,Transactions!E$18:E$46)</f>
        <v>0</v>
      </c>
      <c r="H170" s="28">
        <f>SUMIF(Transactions!$C$18:$C$46,'Percentage Calc'!$E170,Transactions!F$18:F$46)</f>
        <v>0</v>
      </c>
      <c r="I170" s="28">
        <f>SUMIF(Transactions!$C$18:$C$46,'Percentage Calc'!$E170,Transactions!G$18:G$46)</f>
        <v>0</v>
      </c>
      <c r="J170" s="28">
        <f t="shared" si="10"/>
        <v>0</v>
      </c>
      <c r="K170" s="28">
        <f t="shared" si="11"/>
        <v>0</v>
      </c>
      <c r="L170" s="32"/>
      <c r="M170" s="28">
        <f>SUMIF(Transactions!$K$19:$K$46,'Percentage Calc'!$E170,Transactions!L$19:L$46)</f>
        <v>0</v>
      </c>
      <c r="N170" s="28">
        <f>SUMIF(Transactions!$K$19:$K$46,'Percentage Calc'!$E170,Transactions!M$19:M$46)</f>
        <v>0</v>
      </c>
      <c r="O170" s="28">
        <f>SUMIF(Transactions!$K$19:$K$46,'Percentage Calc'!$E170,Transactions!N$19:N$46)</f>
        <v>0</v>
      </c>
      <c r="P170" s="28">
        <f>SUMIF(Transactions!$K$19:$K$46,'Percentage Calc'!$E170,Transactions!O$19:O$46)</f>
        <v>0</v>
      </c>
      <c r="Q170" s="28">
        <f>SUMIF(Transactions!$K$19:$K$46,'Percentage Calc'!$E170,Transactions!P$19:P$46)</f>
        <v>0</v>
      </c>
      <c r="R170" s="28">
        <f t="shared" si="12"/>
        <v>0</v>
      </c>
      <c r="S170" s="28">
        <f t="shared" si="13"/>
        <v>0</v>
      </c>
    </row>
    <row r="171" spans="1:19" x14ac:dyDescent="0.35">
      <c r="A171" s="9"/>
      <c r="B171" s="32"/>
      <c r="C171" s="28">
        <f>IF(Check!$B$87=1,1,IF(R171&lt;1,0,1))</f>
        <v>1</v>
      </c>
      <c r="D171" s="28">
        <f t="shared" si="14"/>
        <v>1</v>
      </c>
      <c r="E171" s="32">
        <v>45995</v>
      </c>
      <c r="F171" s="28">
        <f>SUMIF(Transactions!$C$18:$C$46,'Percentage Calc'!$E171,Transactions!D$18:D$46)</f>
        <v>0</v>
      </c>
      <c r="G171" s="28">
        <f>SUMIF(Transactions!$C$18:$C$46,'Percentage Calc'!$E171,Transactions!E$18:E$46)</f>
        <v>0</v>
      </c>
      <c r="H171" s="28">
        <f>SUMIF(Transactions!$C$18:$C$46,'Percentage Calc'!$E171,Transactions!F$18:F$46)</f>
        <v>0</v>
      </c>
      <c r="I171" s="28">
        <f>SUMIF(Transactions!$C$18:$C$46,'Percentage Calc'!$E171,Transactions!G$18:G$46)</f>
        <v>0</v>
      </c>
      <c r="J171" s="28">
        <f t="shared" si="10"/>
        <v>0</v>
      </c>
      <c r="K171" s="28">
        <f t="shared" si="11"/>
        <v>0</v>
      </c>
      <c r="L171" s="32"/>
      <c r="M171" s="28">
        <f>SUMIF(Transactions!$K$19:$K$46,'Percentage Calc'!$E171,Transactions!L$19:L$46)</f>
        <v>0</v>
      </c>
      <c r="N171" s="28">
        <f>SUMIF(Transactions!$K$19:$K$46,'Percentage Calc'!$E171,Transactions!M$19:M$46)</f>
        <v>0</v>
      </c>
      <c r="O171" s="28">
        <f>SUMIF(Transactions!$K$19:$K$46,'Percentage Calc'!$E171,Transactions!N$19:N$46)</f>
        <v>0</v>
      </c>
      <c r="P171" s="28">
        <f>SUMIF(Transactions!$K$19:$K$46,'Percentage Calc'!$E171,Transactions!O$19:O$46)</f>
        <v>0</v>
      </c>
      <c r="Q171" s="28">
        <f>SUMIF(Transactions!$K$19:$K$46,'Percentage Calc'!$E171,Transactions!P$19:P$46)</f>
        <v>0</v>
      </c>
      <c r="R171" s="28">
        <f t="shared" si="12"/>
        <v>0</v>
      </c>
      <c r="S171" s="28">
        <f t="shared" si="13"/>
        <v>0</v>
      </c>
    </row>
    <row r="172" spans="1:19" x14ac:dyDescent="0.35">
      <c r="A172" s="9"/>
      <c r="B172" s="32"/>
      <c r="C172" s="28">
        <f>IF(Check!$B$87=1,1,IF(R172&lt;1,0,1))</f>
        <v>1</v>
      </c>
      <c r="D172" s="28">
        <f t="shared" si="14"/>
        <v>1</v>
      </c>
      <c r="E172" s="32">
        <v>45996</v>
      </c>
      <c r="F172" s="28">
        <f>SUMIF(Transactions!$C$18:$C$46,'Percentage Calc'!$E172,Transactions!D$18:D$46)</f>
        <v>0</v>
      </c>
      <c r="G172" s="28">
        <f>SUMIF(Transactions!$C$18:$C$46,'Percentage Calc'!$E172,Transactions!E$18:E$46)</f>
        <v>0</v>
      </c>
      <c r="H172" s="28">
        <f>SUMIF(Transactions!$C$18:$C$46,'Percentage Calc'!$E172,Transactions!F$18:F$46)</f>
        <v>0</v>
      </c>
      <c r="I172" s="28">
        <f>SUMIF(Transactions!$C$18:$C$46,'Percentage Calc'!$E172,Transactions!G$18:G$46)</f>
        <v>0</v>
      </c>
      <c r="J172" s="28">
        <f t="shared" si="10"/>
        <v>0</v>
      </c>
      <c r="K172" s="28">
        <f t="shared" si="11"/>
        <v>0</v>
      </c>
      <c r="L172" s="32"/>
      <c r="M172" s="28">
        <f>SUMIF(Transactions!$K$19:$K$46,'Percentage Calc'!$E172,Transactions!L$19:L$46)</f>
        <v>0</v>
      </c>
      <c r="N172" s="28">
        <f>SUMIF(Transactions!$K$19:$K$46,'Percentage Calc'!$E172,Transactions!M$19:M$46)</f>
        <v>0</v>
      </c>
      <c r="O172" s="28">
        <f>SUMIF(Transactions!$K$19:$K$46,'Percentage Calc'!$E172,Transactions!N$19:N$46)</f>
        <v>0</v>
      </c>
      <c r="P172" s="28">
        <f>SUMIF(Transactions!$K$19:$K$46,'Percentage Calc'!$E172,Transactions!O$19:O$46)</f>
        <v>0</v>
      </c>
      <c r="Q172" s="28">
        <f>SUMIF(Transactions!$K$19:$K$46,'Percentage Calc'!$E172,Transactions!P$19:P$46)</f>
        <v>0</v>
      </c>
      <c r="R172" s="28">
        <f t="shared" si="12"/>
        <v>0</v>
      </c>
      <c r="S172" s="28">
        <f t="shared" si="13"/>
        <v>0</v>
      </c>
    </row>
    <row r="173" spans="1:19" x14ac:dyDescent="0.35">
      <c r="A173" s="9"/>
      <c r="B173" s="32"/>
      <c r="C173" s="28">
        <f>IF(Check!$B$87=1,1,IF(R173&lt;1,0,1))</f>
        <v>1</v>
      </c>
      <c r="D173" s="28">
        <f t="shared" si="14"/>
        <v>1</v>
      </c>
      <c r="E173" s="32">
        <v>45997</v>
      </c>
      <c r="F173" s="28">
        <f>SUMIF(Transactions!$C$18:$C$46,'Percentage Calc'!$E173,Transactions!D$18:D$46)</f>
        <v>0</v>
      </c>
      <c r="G173" s="28">
        <f>SUMIF(Transactions!$C$18:$C$46,'Percentage Calc'!$E173,Transactions!E$18:E$46)</f>
        <v>0</v>
      </c>
      <c r="H173" s="28">
        <f>SUMIF(Transactions!$C$18:$C$46,'Percentage Calc'!$E173,Transactions!F$18:F$46)</f>
        <v>0</v>
      </c>
      <c r="I173" s="28">
        <f>SUMIF(Transactions!$C$18:$C$46,'Percentage Calc'!$E173,Transactions!G$18:G$46)</f>
        <v>0</v>
      </c>
      <c r="J173" s="28">
        <f t="shared" si="10"/>
        <v>0</v>
      </c>
      <c r="K173" s="28">
        <f t="shared" si="11"/>
        <v>0</v>
      </c>
      <c r="L173" s="32"/>
      <c r="M173" s="28">
        <f>SUMIF(Transactions!$K$19:$K$46,'Percentage Calc'!$E173,Transactions!L$19:L$46)</f>
        <v>0</v>
      </c>
      <c r="N173" s="28">
        <f>SUMIF(Transactions!$K$19:$K$46,'Percentage Calc'!$E173,Transactions!M$19:M$46)</f>
        <v>0</v>
      </c>
      <c r="O173" s="28">
        <f>SUMIF(Transactions!$K$19:$K$46,'Percentage Calc'!$E173,Transactions!N$19:N$46)</f>
        <v>0</v>
      </c>
      <c r="P173" s="28">
        <f>SUMIF(Transactions!$K$19:$K$46,'Percentage Calc'!$E173,Transactions!O$19:O$46)</f>
        <v>0</v>
      </c>
      <c r="Q173" s="28">
        <f>SUMIF(Transactions!$K$19:$K$46,'Percentage Calc'!$E173,Transactions!P$19:P$46)</f>
        <v>0</v>
      </c>
      <c r="R173" s="28">
        <f t="shared" si="12"/>
        <v>0</v>
      </c>
      <c r="S173" s="28">
        <f t="shared" si="13"/>
        <v>0</v>
      </c>
    </row>
    <row r="174" spans="1:19" x14ac:dyDescent="0.35">
      <c r="A174" s="9"/>
      <c r="B174" s="32"/>
      <c r="C174" s="28">
        <f>IF(Check!$B$87=1,1,IF(R174&lt;1,0,1))</f>
        <v>1</v>
      </c>
      <c r="D174" s="28">
        <f t="shared" si="14"/>
        <v>1</v>
      </c>
      <c r="E174" s="32">
        <v>45998</v>
      </c>
      <c r="F174" s="28">
        <f>SUMIF(Transactions!$C$18:$C$46,'Percentage Calc'!$E174,Transactions!D$18:D$46)</f>
        <v>0</v>
      </c>
      <c r="G174" s="28">
        <f>SUMIF(Transactions!$C$18:$C$46,'Percentage Calc'!$E174,Transactions!E$18:E$46)</f>
        <v>0</v>
      </c>
      <c r="H174" s="28">
        <f>SUMIF(Transactions!$C$18:$C$46,'Percentage Calc'!$E174,Transactions!F$18:F$46)</f>
        <v>0</v>
      </c>
      <c r="I174" s="28">
        <f>SUMIF(Transactions!$C$18:$C$46,'Percentage Calc'!$E174,Transactions!G$18:G$46)</f>
        <v>0</v>
      </c>
      <c r="J174" s="28">
        <f t="shared" si="10"/>
        <v>0</v>
      </c>
      <c r="K174" s="28">
        <f t="shared" si="11"/>
        <v>0</v>
      </c>
      <c r="L174" s="32"/>
      <c r="M174" s="28">
        <f>SUMIF(Transactions!$K$19:$K$46,'Percentage Calc'!$E174,Transactions!L$19:L$46)</f>
        <v>0</v>
      </c>
      <c r="N174" s="28">
        <f>SUMIF(Transactions!$K$19:$K$46,'Percentage Calc'!$E174,Transactions!M$19:M$46)</f>
        <v>0</v>
      </c>
      <c r="O174" s="28">
        <f>SUMIF(Transactions!$K$19:$K$46,'Percentage Calc'!$E174,Transactions!N$19:N$46)</f>
        <v>0</v>
      </c>
      <c r="P174" s="28">
        <f>SUMIF(Transactions!$K$19:$K$46,'Percentage Calc'!$E174,Transactions!O$19:O$46)</f>
        <v>0</v>
      </c>
      <c r="Q174" s="28">
        <f>SUMIF(Transactions!$K$19:$K$46,'Percentage Calc'!$E174,Transactions!P$19:P$46)</f>
        <v>0</v>
      </c>
      <c r="R174" s="28">
        <f t="shared" si="12"/>
        <v>0</v>
      </c>
      <c r="S174" s="28">
        <f t="shared" si="13"/>
        <v>0</v>
      </c>
    </row>
    <row r="175" spans="1:19" x14ac:dyDescent="0.35">
      <c r="A175" s="9"/>
      <c r="B175" s="32"/>
      <c r="C175" s="28">
        <f>IF(Check!$B$87=1,1,IF(R175&lt;1,0,1))</f>
        <v>1</v>
      </c>
      <c r="D175" s="28">
        <f t="shared" si="14"/>
        <v>1</v>
      </c>
      <c r="E175" s="32">
        <v>45999</v>
      </c>
      <c r="F175" s="28">
        <f>SUMIF(Transactions!$C$18:$C$46,'Percentage Calc'!$E175,Transactions!D$18:D$46)</f>
        <v>0</v>
      </c>
      <c r="G175" s="28">
        <f>SUMIF(Transactions!$C$18:$C$46,'Percentage Calc'!$E175,Transactions!E$18:E$46)</f>
        <v>0</v>
      </c>
      <c r="H175" s="28">
        <f>SUMIF(Transactions!$C$18:$C$46,'Percentage Calc'!$E175,Transactions!F$18:F$46)</f>
        <v>0</v>
      </c>
      <c r="I175" s="28">
        <f>SUMIF(Transactions!$C$18:$C$46,'Percentage Calc'!$E175,Transactions!G$18:G$46)</f>
        <v>0</v>
      </c>
      <c r="J175" s="28">
        <f t="shared" si="10"/>
        <v>0</v>
      </c>
      <c r="K175" s="28">
        <f t="shared" si="11"/>
        <v>0</v>
      </c>
      <c r="L175" s="32"/>
      <c r="M175" s="28">
        <f>SUMIF(Transactions!$K$19:$K$46,'Percentage Calc'!$E175,Transactions!L$19:L$46)</f>
        <v>0</v>
      </c>
      <c r="N175" s="28">
        <f>SUMIF(Transactions!$K$19:$K$46,'Percentage Calc'!$E175,Transactions!M$19:M$46)</f>
        <v>0</v>
      </c>
      <c r="O175" s="28">
        <f>SUMIF(Transactions!$K$19:$K$46,'Percentage Calc'!$E175,Transactions!N$19:N$46)</f>
        <v>0</v>
      </c>
      <c r="P175" s="28">
        <f>SUMIF(Transactions!$K$19:$K$46,'Percentage Calc'!$E175,Transactions!O$19:O$46)</f>
        <v>0</v>
      </c>
      <c r="Q175" s="28">
        <f>SUMIF(Transactions!$K$19:$K$46,'Percentage Calc'!$E175,Transactions!P$19:P$46)</f>
        <v>0</v>
      </c>
      <c r="R175" s="28">
        <f t="shared" si="12"/>
        <v>0</v>
      </c>
      <c r="S175" s="28">
        <f t="shared" si="13"/>
        <v>0</v>
      </c>
    </row>
    <row r="176" spans="1:19" x14ac:dyDescent="0.35">
      <c r="A176" s="9"/>
      <c r="B176" s="32"/>
      <c r="C176" s="28">
        <f>IF(Check!$B$87=1,1,IF(R176&lt;1,0,1))</f>
        <v>1</v>
      </c>
      <c r="D176" s="28">
        <f t="shared" si="14"/>
        <v>1</v>
      </c>
      <c r="E176" s="32">
        <v>46000</v>
      </c>
      <c r="F176" s="28">
        <f>SUMIF(Transactions!$C$18:$C$46,'Percentage Calc'!$E176,Transactions!D$18:D$46)</f>
        <v>0</v>
      </c>
      <c r="G176" s="28">
        <f>SUMIF(Transactions!$C$18:$C$46,'Percentage Calc'!$E176,Transactions!E$18:E$46)</f>
        <v>0</v>
      </c>
      <c r="H176" s="28">
        <f>SUMIF(Transactions!$C$18:$C$46,'Percentage Calc'!$E176,Transactions!F$18:F$46)</f>
        <v>0</v>
      </c>
      <c r="I176" s="28">
        <f>SUMIF(Transactions!$C$18:$C$46,'Percentage Calc'!$E176,Transactions!G$18:G$46)</f>
        <v>0</v>
      </c>
      <c r="J176" s="28">
        <f t="shared" si="10"/>
        <v>0</v>
      </c>
      <c r="K176" s="28">
        <f t="shared" si="11"/>
        <v>0</v>
      </c>
      <c r="L176" s="32"/>
      <c r="M176" s="28">
        <f>SUMIF(Transactions!$K$19:$K$46,'Percentage Calc'!$E176,Transactions!L$19:L$46)</f>
        <v>0</v>
      </c>
      <c r="N176" s="28">
        <f>SUMIF(Transactions!$K$19:$K$46,'Percentage Calc'!$E176,Transactions!M$19:M$46)</f>
        <v>0</v>
      </c>
      <c r="O176" s="28">
        <f>SUMIF(Transactions!$K$19:$K$46,'Percentage Calc'!$E176,Transactions!N$19:N$46)</f>
        <v>0</v>
      </c>
      <c r="P176" s="28">
        <f>SUMIF(Transactions!$K$19:$K$46,'Percentage Calc'!$E176,Transactions!O$19:O$46)</f>
        <v>0</v>
      </c>
      <c r="Q176" s="28">
        <f>SUMIF(Transactions!$K$19:$K$46,'Percentage Calc'!$E176,Transactions!P$19:P$46)</f>
        <v>0</v>
      </c>
      <c r="R176" s="28">
        <f t="shared" si="12"/>
        <v>0</v>
      </c>
      <c r="S176" s="28">
        <f t="shared" si="13"/>
        <v>0</v>
      </c>
    </row>
    <row r="177" spans="1:19" x14ac:dyDescent="0.35">
      <c r="A177" s="9"/>
      <c r="B177" s="32"/>
      <c r="C177" s="28">
        <f>IF(Check!$B$87=1,1,IF(R177&lt;1,0,1))</f>
        <v>1</v>
      </c>
      <c r="D177" s="28">
        <f t="shared" si="14"/>
        <v>1</v>
      </c>
      <c r="E177" s="32">
        <v>46001</v>
      </c>
      <c r="F177" s="28">
        <f>SUMIF(Transactions!$C$18:$C$46,'Percentage Calc'!$E177,Transactions!D$18:D$46)</f>
        <v>0</v>
      </c>
      <c r="G177" s="28">
        <f>SUMIF(Transactions!$C$18:$C$46,'Percentage Calc'!$E177,Transactions!E$18:E$46)</f>
        <v>0</v>
      </c>
      <c r="H177" s="28">
        <f>SUMIF(Transactions!$C$18:$C$46,'Percentage Calc'!$E177,Transactions!F$18:F$46)</f>
        <v>0</v>
      </c>
      <c r="I177" s="28">
        <f>SUMIF(Transactions!$C$18:$C$46,'Percentage Calc'!$E177,Transactions!G$18:G$46)</f>
        <v>0</v>
      </c>
      <c r="J177" s="28">
        <f t="shared" si="10"/>
        <v>0</v>
      </c>
      <c r="K177" s="28">
        <f t="shared" si="11"/>
        <v>0</v>
      </c>
      <c r="L177" s="32"/>
      <c r="M177" s="28">
        <f>SUMIF(Transactions!$K$19:$K$46,'Percentage Calc'!$E177,Transactions!L$19:L$46)</f>
        <v>0</v>
      </c>
      <c r="N177" s="28">
        <f>SUMIF(Transactions!$K$19:$K$46,'Percentage Calc'!$E177,Transactions!M$19:M$46)</f>
        <v>0</v>
      </c>
      <c r="O177" s="28">
        <f>SUMIF(Transactions!$K$19:$K$46,'Percentage Calc'!$E177,Transactions!N$19:N$46)</f>
        <v>0</v>
      </c>
      <c r="P177" s="28">
        <f>SUMIF(Transactions!$K$19:$K$46,'Percentage Calc'!$E177,Transactions!O$19:O$46)</f>
        <v>0</v>
      </c>
      <c r="Q177" s="28">
        <f>SUMIF(Transactions!$K$19:$K$46,'Percentage Calc'!$E177,Transactions!P$19:P$46)</f>
        <v>0</v>
      </c>
      <c r="R177" s="28">
        <f t="shared" si="12"/>
        <v>0</v>
      </c>
      <c r="S177" s="28">
        <f t="shared" si="13"/>
        <v>0</v>
      </c>
    </row>
    <row r="178" spans="1:19" x14ac:dyDescent="0.35">
      <c r="A178" s="9"/>
      <c r="B178" s="32"/>
      <c r="C178" s="28">
        <f>IF(Check!$B$87=1,1,IF(R178&lt;1,0,1))</f>
        <v>1</v>
      </c>
      <c r="D178" s="28">
        <f t="shared" si="14"/>
        <v>1</v>
      </c>
      <c r="E178" s="32">
        <v>46002</v>
      </c>
      <c r="F178" s="28">
        <f>SUMIF(Transactions!$C$18:$C$46,'Percentage Calc'!$E178,Transactions!D$18:D$46)</f>
        <v>0</v>
      </c>
      <c r="G178" s="28">
        <f>SUMIF(Transactions!$C$18:$C$46,'Percentage Calc'!$E178,Transactions!E$18:E$46)</f>
        <v>0</v>
      </c>
      <c r="H178" s="28">
        <f>SUMIF(Transactions!$C$18:$C$46,'Percentage Calc'!$E178,Transactions!F$18:F$46)</f>
        <v>0</v>
      </c>
      <c r="I178" s="28">
        <f>SUMIF(Transactions!$C$18:$C$46,'Percentage Calc'!$E178,Transactions!G$18:G$46)</f>
        <v>0</v>
      </c>
      <c r="J178" s="28">
        <f t="shared" si="10"/>
        <v>0</v>
      </c>
      <c r="K178" s="28">
        <f t="shared" si="11"/>
        <v>0</v>
      </c>
      <c r="L178" s="32"/>
      <c r="M178" s="28">
        <f>SUMIF(Transactions!$K$19:$K$46,'Percentage Calc'!$E178,Transactions!L$19:L$46)</f>
        <v>0</v>
      </c>
      <c r="N178" s="28">
        <f>SUMIF(Transactions!$K$19:$K$46,'Percentage Calc'!$E178,Transactions!M$19:M$46)</f>
        <v>0</v>
      </c>
      <c r="O178" s="28">
        <f>SUMIF(Transactions!$K$19:$K$46,'Percentage Calc'!$E178,Transactions!N$19:N$46)</f>
        <v>0</v>
      </c>
      <c r="P178" s="28">
        <f>SUMIF(Transactions!$K$19:$K$46,'Percentage Calc'!$E178,Transactions!O$19:O$46)</f>
        <v>0</v>
      </c>
      <c r="Q178" s="28">
        <f>SUMIF(Transactions!$K$19:$K$46,'Percentage Calc'!$E178,Transactions!P$19:P$46)</f>
        <v>0</v>
      </c>
      <c r="R178" s="28">
        <f t="shared" si="12"/>
        <v>0</v>
      </c>
      <c r="S178" s="28">
        <f t="shared" si="13"/>
        <v>0</v>
      </c>
    </row>
    <row r="179" spans="1:19" x14ac:dyDescent="0.35">
      <c r="A179" s="9"/>
      <c r="B179" s="32"/>
      <c r="C179" s="28">
        <f>IF(Check!$B$87=1,1,IF(R179&lt;1,0,1))</f>
        <v>1</v>
      </c>
      <c r="D179" s="28">
        <f t="shared" si="14"/>
        <v>1</v>
      </c>
      <c r="E179" s="32">
        <v>46003</v>
      </c>
      <c r="F179" s="28">
        <f>SUMIF(Transactions!$C$18:$C$46,'Percentage Calc'!$E179,Transactions!D$18:D$46)</f>
        <v>0</v>
      </c>
      <c r="G179" s="28">
        <f>SUMIF(Transactions!$C$18:$C$46,'Percentage Calc'!$E179,Transactions!E$18:E$46)</f>
        <v>0</v>
      </c>
      <c r="H179" s="28">
        <f>SUMIF(Transactions!$C$18:$C$46,'Percentage Calc'!$E179,Transactions!F$18:F$46)</f>
        <v>0</v>
      </c>
      <c r="I179" s="28">
        <f>SUMIF(Transactions!$C$18:$C$46,'Percentage Calc'!$E179,Transactions!G$18:G$46)</f>
        <v>0</v>
      </c>
      <c r="J179" s="28">
        <f t="shared" si="10"/>
        <v>0</v>
      </c>
      <c r="K179" s="28">
        <f t="shared" si="11"/>
        <v>0</v>
      </c>
      <c r="L179" s="32"/>
      <c r="M179" s="28">
        <f>SUMIF(Transactions!$K$19:$K$46,'Percentage Calc'!$E179,Transactions!L$19:L$46)</f>
        <v>0</v>
      </c>
      <c r="N179" s="28">
        <f>SUMIF(Transactions!$K$19:$K$46,'Percentage Calc'!$E179,Transactions!M$19:M$46)</f>
        <v>0</v>
      </c>
      <c r="O179" s="28">
        <f>SUMIF(Transactions!$K$19:$K$46,'Percentage Calc'!$E179,Transactions!N$19:N$46)</f>
        <v>0</v>
      </c>
      <c r="P179" s="28">
        <f>SUMIF(Transactions!$K$19:$K$46,'Percentage Calc'!$E179,Transactions!O$19:O$46)</f>
        <v>0</v>
      </c>
      <c r="Q179" s="28">
        <f>SUMIF(Transactions!$K$19:$K$46,'Percentage Calc'!$E179,Transactions!P$19:P$46)</f>
        <v>0</v>
      </c>
      <c r="R179" s="28">
        <f t="shared" si="12"/>
        <v>0</v>
      </c>
      <c r="S179" s="28">
        <f t="shared" si="13"/>
        <v>0</v>
      </c>
    </row>
    <row r="180" spans="1:19" x14ac:dyDescent="0.35">
      <c r="A180" s="9"/>
      <c r="B180" s="32"/>
      <c r="C180" s="28">
        <f>IF(Check!$B$87=1,1,IF(R180&lt;1,0,1))</f>
        <v>1</v>
      </c>
      <c r="D180" s="28">
        <f t="shared" si="14"/>
        <v>1</v>
      </c>
      <c r="E180" s="32">
        <v>46004</v>
      </c>
      <c r="F180" s="28">
        <f>SUMIF(Transactions!$C$18:$C$46,'Percentage Calc'!$E180,Transactions!D$18:D$46)</f>
        <v>0</v>
      </c>
      <c r="G180" s="28">
        <f>SUMIF(Transactions!$C$18:$C$46,'Percentage Calc'!$E180,Transactions!E$18:E$46)</f>
        <v>0</v>
      </c>
      <c r="H180" s="28">
        <f>SUMIF(Transactions!$C$18:$C$46,'Percentage Calc'!$E180,Transactions!F$18:F$46)</f>
        <v>0</v>
      </c>
      <c r="I180" s="28">
        <f>SUMIF(Transactions!$C$18:$C$46,'Percentage Calc'!$E180,Transactions!G$18:G$46)</f>
        <v>0</v>
      </c>
      <c r="J180" s="28">
        <f t="shared" si="10"/>
        <v>0</v>
      </c>
      <c r="K180" s="28">
        <f t="shared" si="11"/>
        <v>0</v>
      </c>
      <c r="L180" s="32"/>
      <c r="M180" s="28">
        <f>SUMIF(Transactions!$K$19:$K$46,'Percentage Calc'!$E180,Transactions!L$19:L$46)</f>
        <v>0</v>
      </c>
      <c r="N180" s="28">
        <f>SUMIF(Transactions!$K$19:$K$46,'Percentage Calc'!$E180,Transactions!M$19:M$46)</f>
        <v>0</v>
      </c>
      <c r="O180" s="28">
        <f>SUMIF(Transactions!$K$19:$K$46,'Percentage Calc'!$E180,Transactions!N$19:N$46)</f>
        <v>0</v>
      </c>
      <c r="P180" s="28">
        <f>SUMIF(Transactions!$K$19:$K$46,'Percentage Calc'!$E180,Transactions!O$19:O$46)</f>
        <v>0</v>
      </c>
      <c r="Q180" s="28">
        <f>SUMIF(Transactions!$K$19:$K$46,'Percentage Calc'!$E180,Transactions!P$19:P$46)</f>
        <v>0</v>
      </c>
      <c r="R180" s="28">
        <f t="shared" si="12"/>
        <v>0</v>
      </c>
      <c r="S180" s="28">
        <f t="shared" si="13"/>
        <v>0</v>
      </c>
    </row>
    <row r="181" spans="1:19" x14ac:dyDescent="0.35">
      <c r="A181" s="9"/>
      <c r="B181" s="32"/>
      <c r="C181" s="28">
        <f>IF(Check!$B$87=1,1,IF(R181&lt;1,0,1))</f>
        <v>1</v>
      </c>
      <c r="D181" s="28">
        <f t="shared" si="14"/>
        <v>1</v>
      </c>
      <c r="E181" s="32">
        <v>46005</v>
      </c>
      <c r="F181" s="28">
        <f>SUMIF(Transactions!$C$18:$C$46,'Percentage Calc'!$E181,Transactions!D$18:D$46)</f>
        <v>0</v>
      </c>
      <c r="G181" s="28">
        <f>SUMIF(Transactions!$C$18:$C$46,'Percentage Calc'!$E181,Transactions!E$18:E$46)</f>
        <v>0</v>
      </c>
      <c r="H181" s="28">
        <f>SUMIF(Transactions!$C$18:$C$46,'Percentage Calc'!$E181,Transactions!F$18:F$46)</f>
        <v>0</v>
      </c>
      <c r="I181" s="28">
        <f>SUMIF(Transactions!$C$18:$C$46,'Percentage Calc'!$E181,Transactions!G$18:G$46)</f>
        <v>0</v>
      </c>
      <c r="J181" s="28">
        <f t="shared" si="10"/>
        <v>0</v>
      </c>
      <c r="K181" s="28">
        <f t="shared" si="11"/>
        <v>0</v>
      </c>
      <c r="L181" s="32"/>
      <c r="M181" s="28">
        <f>SUMIF(Transactions!$K$19:$K$46,'Percentage Calc'!$E181,Transactions!L$19:L$46)</f>
        <v>0</v>
      </c>
      <c r="N181" s="28">
        <f>SUMIF(Transactions!$K$19:$K$46,'Percentage Calc'!$E181,Transactions!M$19:M$46)</f>
        <v>0</v>
      </c>
      <c r="O181" s="28">
        <f>SUMIF(Transactions!$K$19:$K$46,'Percentage Calc'!$E181,Transactions!N$19:N$46)</f>
        <v>0</v>
      </c>
      <c r="P181" s="28">
        <f>SUMIF(Transactions!$K$19:$K$46,'Percentage Calc'!$E181,Transactions!O$19:O$46)</f>
        <v>0</v>
      </c>
      <c r="Q181" s="28">
        <f>SUMIF(Transactions!$K$19:$K$46,'Percentage Calc'!$E181,Transactions!P$19:P$46)</f>
        <v>0</v>
      </c>
      <c r="R181" s="28">
        <f t="shared" si="12"/>
        <v>0</v>
      </c>
      <c r="S181" s="28">
        <f t="shared" si="13"/>
        <v>0</v>
      </c>
    </row>
    <row r="182" spans="1:19" x14ac:dyDescent="0.35">
      <c r="A182" s="9"/>
      <c r="B182" s="32"/>
      <c r="C182" s="28">
        <f>IF(Check!$B$87=1,1,IF(R182&lt;1,0,1))</f>
        <v>1</v>
      </c>
      <c r="D182" s="28">
        <f t="shared" si="14"/>
        <v>1</v>
      </c>
      <c r="E182" s="32">
        <v>46006</v>
      </c>
      <c r="F182" s="28">
        <f>SUMIF(Transactions!$C$18:$C$46,'Percentage Calc'!$E182,Transactions!D$18:D$46)</f>
        <v>0</v>
      </c>
      <c r="G182" s="28">
        <f>SUMIF(Transactions!$C$18:$C$46,'Percentage Calc'!$E182,Transactions!E$18:E$46)</f>
        <v>0</v>
      </c>
      <c r="H182" s="28">
        <f>SUMIF(Transactions!$C$18:$C$46,'Percentage Calc'!$E182,Transactions!F$18:F$46)</f>
        <v>0</v>
      </c>
      <c r="I182" s="28">
        <f>SUMIF(Transactions!$C$18:$C$46,'Percentage Calc'!$E182,Transactions!G$18:G$46)</f>
        <v>0</v>
      </c>
      <c r="J182" s="28">
        <f t="shared" si="10"/>
        <v>0</v>
      </c>
      <c r="K182" s="28">
        <f t="shared" si="11"/>
        <v>0</v>
      </c>
      <c r="L182" s="32"/>
      <c r="M182" s="28">
        <f>SUMIF(Transactions!$K$19:$K$46,'Percentage Calc'!$E182,Transactions!L$19:L$46)</f>
        <v>0</v>
      </c>
      <c r="N182" s="28">
        <f>SUMIF(Transactions!$K$19:$K$46,'Percentage Calc'!$E182,Transactions!M$19:M$46)</f>
        <v>0</v>
      </c>
      <c r="O182" s="28">
        <f>SUMIF(Transactions!$K$19:$K$46,'Percentage Calc'!$E182,Transactions!N$19:N$46)</f>
        <v>0</v>
      </c>
      <c r="P182" s="28">
        <f>SUMIF(Transactions!$K$19:$K$46,'Percentage Calc'!$E182,Transactions!O$19:O$46)</f>
        <v>0</v>
      </c>
      <c r="Q182" s="28">
        <f>SUMIF(Transactions!$K$19:$K$46,'Percentage Calc'!$E182,Transactions!P$19:P$46)</f>
        <v>0</v>
      </c>
      <c r="R182" s="28">
        <f t="shared" si="12"/>
        <v>0</v>
      </c>
      <c r="S182" s="28">
        <f t="shared" si="13"/>
        <v>0</v>
      </c>
    </row>
    <row r="183" spans="1:19" x14ac:dyDescent="0.35">
      <c r="A183" s="9"/>
      <c r="B183" s="32"/>
      <c r="C183" s="28">
        <f>IF(Check!$B$87=1,1,IF(R183&lt;1,0,1))</f>
        <v>1</v>
      </c>
      <c r="D183" s="28">
        <f t="shared" si="14"/>
        <v>1</v>
      </c>
      <c r="E183" s="32">
        <v>46007</v>
      </c>
      <c r="F183" s="28">
        <f>SUMIF(Transactions!$C$18:$C$46,'Percentage Calc'!$E183,Transactions!D$18:D$46)</f>
        <v>0</v>
      </c>
      <c r="G183" s="28">
        <f>SUMIF(Transactions!$C$18:$C$46,'Percentage Calc'!$E183,Transactions!E$18:E$46)</f>
        <v>0</v>
      </c>
      <c r="H183" s="28">
        <f>SUMIF(Transactions!$C$18:$C$46,'Percentage Calc'!$E183,Transactions!F$18:F$46)</f>
        <v>0</v>
      </c>
      <c r="I183" s="28">
        <f>SUMIF(Transactions!$C$18:$C$46,'Percentage Calc'!$E183,Transactions!G$18:G$46)</f>
        <v>0</v>
      </c>
      <c r="J183" s="28">
        <f t="shared" si="10"/>
        <v>0</v>
      </c>
      <c r="K183" s="28">
        <f t="shared" si="11"/>
        <v>0</v>
      </c>
      <c r="L183" s="32"/>
      <c r="M183" s="28">
        <f>SUMIF(Transactions!$K$19:$K$46,'Percentage Calc'!$E183,Transactions!L$19:L$46)</f>
        <v>0</v>
      </c>
      <c r="N183" s="28">
        <f>SUMIF(Transactions!$K$19:$K$46,'Percentage Calc'!$E183,Transactions!M$19:M$46)</f>
        <v>0</v>
      </c>
      <c r="O183" s="28">
        <f>SUMIF(Transactions!$K$19:$K$46,'Percentage Calc'!$E183,Transactions!N$19:N$46)</f>
        <v>0</v>
      </c>
      <c r="P183" s="28">
        <f>SUMIF(Transactions!$K$19:$K$46,'Percentage Calc'!$E183,Transactions!O$19:O$46)</f>
        <v>0</v>
      </c>
      <c r="Q183" s="28">
        <f>SUMIF(Transactions!$K$19:$K$46,'Percentage Calc'!$E183,Transactions!P$19:P$46)</f>
        <v>0</v>
      </c>
      <c r="R183" s="28">
        <f t="shared" si="12"/>
        <v>0</v>
      </c>
      <c r="S183" s="28">
        <f t="shared" si="13"/>
        <v>0</v>
      </c>
    </row>
    <row r="184" spans="1:19" x14ac:dyDescent="0.35">
      <c r="A184" s="9"/>
      <c r="B184" s="32"/>
      <c r="C184" s="28">
        <f>IF(Check!$B$87=1,1,IF(R184&lt;1,0,1))</f>
        <v>1</v>
      </c>
      <c r="D184" s="28">
        <f t="shared" si="14"/>
        <v>1</v>
      </c>
      <c r="E184" s="32">
        <v>46008</v>
      </c>
      <c r="F184" s="28">
        <f>SUMIF(Transactions!$C$18:$C$46,'Percentage Calc'!$E184,Transactions!D$18:D$46)</f>
        <v>0</v>
      </c>
      <c r="G184" s="28">
        <f>SUMIF(Transactions!$C$18:$C$46,'Percentage Calc'!$E184,Transactions!E$18:E$46)</f>
        <v>0</v>
      </c>
      <c r="H184" s="28">
        <f>SUMIF(Transactions!$C$18:$C$46,'Percentage Calc'!$E184,Transactions!F$18:F$46)</f>
        <v>0</v>
      </c>
      <c r="I184" s="28">
        <f>SUMIF(Transactions!$C$18:$C$46,'Percentage Calc'!$E184,Transactions!G$18:G$46)</f>
        <v>0</v>
      </c>
      <c r="J184" s="28">
        <f t="shared" si="10"/>
        <v>0</v>
      </c>
      <c r="K184" s="28">
        <f t="shared" si="11"/>
        <v>0</v>
      </c>
      <c r="L184" s="32"/>
      <c r="M184" s="28">
        <f>SUMIF(Transactions!$K$19:$K$46,'Percentage Calc'!$E184,Transactions!L$19:L$46)</f>
        <v>0</v>
      </c>
      <c r="N184" s="28">
        <f>SUMIF(Transactions!$K$19:$K$46,'Percentage Calc'!$E184,Transactions!M$19:M$46)</f>
        <v>0</v>
      </c>
      <c r="O184" s="28">
        <f>SUMIF(Transactions!$K$19:$K$46,'Percentage Calc'!$E184,Transactions!N$19:N$46)</f>
        <v>0</v>
      </c>
      <c r="P184" s="28">
        <f>SUMIF(Transactions!$K$19:$K$46,'Percentage Calc'!$E184,Transactions!O$19:O$46)</f>
        <v>0</v>
      </c>
      <c r="Q184" s="28">
        <f>SUMIF(Transactions!$K$19:$K$46,'Percentage Calc'!$E184,Transactions!P$19:P$46)</f>
        <v>0</v>
      </c>
      <c r="R184" s="28">
        <f t="shared" si="12"/>
        <v>0</v>
      </c>
      <c r="S184" s="28">
        <f t="shared" si="13"/>
        <v>0</v>
      </c>
    </row>
    <row r="185" spans="1:19" x14ac:dyDescent="0.35">
      <c r="A185" s="9"/>
      <c r="B185" s="32"/>
      <c r="C185" s="28">
        <f>IF(Check!$B$87=1,1,IF(R185&lt;1,0,1))</f>
        <v>1</v>
      </c>
      <c r="D185" s="28">
        <f t="shared" si="14"/>
        <v>1</v>
      </c>
      <c r="E185" s="32">
        <v>46009</v>
      </c>
      <c r="F185" s="28">
        <f>SUMIF(Transactions!$C$18:$C$46,'Percentage Calc'!$E185,Transactions!D$18:D$46)</f>
        <v>0</v>
      </c>
      <c r="G185" s="28">
        <f>SUMIF(Transactions!$C$18:$C$46,'Percentage Calc'!$E185,Transactions!E$18:E$46)</f>
        <v>0</v>
      </c>
      <c r="H185" s="28">
        <f>SUMIF(Transactions!$C$18:$C$46,'Percentage Calc'!$E185,Transactions!F$18:F$46)</f>
        <v>0</v>
      </c>
      <c r="I185" s="28">
        <f>SUMIF(Transactions!$C$18:$C$46,'Percentage Calc'!$E185,Transactions!G$18:G$46)</f>
        <v>0</v>
      </c>
      <c r="J185" s="28">
        <f t="shared" si="10"/>
        <v>0</v>
      </c>
      <c r="K185" s="28">
        <f t="shared" si="11"/>
        <v>0</v>
      </c>
      <c r="L185" s="32"/>
      <c r="M185" s="28">
        <f>SUMIF(Transactions!$K$19:$K$46,'Percentage Calc'!$E185,Transactions!L$19:L$46)</f>
        <v>0</v>
      </c>
      <c r="N185" s="28">
        <f>SUMIF(Transactions!$K$19:$K$46,'Percentage Calc'!$E185,Transactions!M$19:M$46)</f>
        <v>0</v>
      </c>
      <c r="O185" s="28">
        <f>SUMIF(Transactions!$K$19:$K$46,'Percentage Calc'!$E185,Transactions!N$19:N$46)</f>
        <v>0</v>
      </c>
      <c r="P185" s="28">
        <f>SUMIF(Transactions!$K$19:$K$46,'Percentage Calc'!$E185,Transactions!O$19:O$46)</f>
        <v>0</v>
      </c>
      <c r="Q185" s="28">
        <f>SUMIF(Transactions!$K$19:$K$46,'Percentage Calc'!$E185,Transactions!P$19:P$46)</f>
        <v>0</v>
      </c>
      <c r="R185" s="28">
        <f t="shared" si="12"/>
        <v>0</v>
      </c>
      <c r="S185" s="28">
        <f t="shared" si="13"/>
        <v>0</v>
      </c>
    </row>
    <row r="186" spans="1:19" x14ac:dyDescent="0.35">
      <c r="A186" s="9"/>
      <c r="B186" s="32"/>
      <c r="C186" s="28">
        <f>IF(Check!$B$87=1,1,IF(R186&lt;1,0,1))</f>
        <v>1</v>
      </c>
      <c r="D186" s="28">
        <f t="shared" si="14"/>
        <v>1</v>
      </c>
      <c r="E186" s="32">
        <v>46010</v>
      </c>
      <c r="F186" s="28">
        <f>SUMIF(Transactions!$C$18:$C$46,'Percentage Calc'!$E186,Transactions!D$18:D$46)</f>
        <v>0</v>
      </c>
      <c r="G186" s="28">
        <f>SUMIF(Transactions!$C$18:$C$46,'Percentage Calc'!$E186,Transactions!E$18:E$46)</f>
        <v>0</v>
      </c>
      <c r="H186" s="28">
        <f>SUMIF(Transactions!$C$18:$C$46,'Percentage Calc'!$E186,Transactions!F$18:F$46)</f>
        <v>0</v>
      </c>
      <c r="I186" s="28">
        <f>SUMIF(Transactions!$C$18:$C$46,'Percentage Calc'!$E186,Transactions!G$18:G$46)</f>
        <v>0</v>
      </c>
      <c r="J186" s="28">
        <f t="shared" si="10"/>
        <v>0</v>
      </c>
      <c r="K186" s="28">
        <f t="shared" si="11"/>
        <v>0</v>
      </c>
      <c r="L186" s="32"/>
      <c r="M186" s="28">
        <f>SUMIF(Transactions!$K$19:$K$46,'Percentage Calc'!$E186,Transactions!L$19:L$46)</f>
        <v>0</v>
      </c>
      <c r="N186" s="28">
        <f>SUMIF(Transactions!$K$19:$K$46,'Percentage Calc'!$E186,Transactions!M$19:M$46)</f>
        <v>0</v>
      </c>
      <c r="O186" s="28">
        <f>SUMIF(Transactions!$K$19:$K$46,'Percentage Calc'!$E186,Transactions!N$19:N$46)</f>
        <v>0</v>
      </c>
      <c r="P186" s="28">
        <f>SUMIF(Transactions!$K$19:$K$46,'Percentage Calc'!$E186,Transactions!O$19:O$46)</f>
        <v>0</v>
      </c>
      <c r="Q186" s="28">
        <f>SUMIF(Transactions!$K$19:$K$46,'Percentage Calc'!$E186,Transactions!P$19:P$46)</f>
        <v>0</v>
      </c>
      <c r="R186" s="28">
        <f t="shared" si="12"/>
        <v>0</v>
      </c>
      <c r="S186" s="28">
        <f t="shared" si="13"/>
        <v>0</v>
      </c>
    </row>
    <row r="187" spans="1:19" x14ac:dyDescent="0.35">
      <c r="A187" s="9"/>
      <c r="B187" s="32"/>
      <c r="C187" s="28">
        <f>IF(Check!$B$87=1,1,IF(R187&lt;1,0,1))</f>
        <v>1</v>
      </c>
      <c r="D187" s="28">
        <f t="shared" si="14"/>
        <v>1</v>
      </c>
      <c r="E187" s="32">
        <v>46011</v>
      </c>
      <c r="F187" s="28">
        <f>SUMIF(Transactions!$C$18:$C$46,'Percentage Calc'!$E187,Transactions!D$18:D$46)</f>
        <v>0</v>
      </c>
      <c r="G187" s="28">
        <f>SUMIF(Transactions!$C$18:$C$46,'Percentage Calc'!$E187,Transactions!E$18:E$46)</f>
        <v>0</v>
      </c>
      <c r="H187" s="28">
        <f>SUMIF(Transactions!$C$18:$C$46,'Percentage Calc'!$E187,Transactions!F$18:F$46)</f>
        <v>0</v>
      </c>
      <c r="I187" s="28">
        <f>SUMIF(Transactions!$C$18:$C$46,'Percentage Calc'!$E187,Transactions!G$18:G$46)</f>
        <v>0</v>
      </c>
      <c r="J187" s="28">
        <f t="shared" si="10"/>
        <v>0</v>
      </c>
      <c r="K187" s="28">
        <f t="shared" si="11"/>
        <v>0</v>
      </c>
      <c r="L187" s="32"/>
      <c r="M187" s="28">
        <f>SUMIF(Transactions!$K$19:$K$46,'Percentage Calc'!$E187,Transactions!L$19:L$46)</f>
        <v>0</v>
      </c>
      <c r="N187" s="28">
        <f>SUMIF(Transactions!$K$19:$K$46,'Percentage Calc'!$E187,Transactions!M$19:M$46)</f>
        <v>0</v>
      </c>
      <c r="O187" s="28">
        <f>SUMIF(Transactions!$K$19:$K$46,'Percentage Calc'!$E187,Transactions!N$19:N$46)</f>
        <v>0</v>
      </c>
      <c r="P187" s="28">
        <f>SUMIF(Transactions!$K$19:$K$46,'Percentage Calc'!$E187,Transactions!O$19:O$46)</f>
        <v>0</v>
      </c>
      <c r="Q187" s="28">
        <f>SUMIF(Transactions!$K$19:$K$46,'Percentage Calc'!$E187,Transactions!P$19:P$46)</f>
        <v>0</v>
      </c>
      <c r="R187" s="28">
        <f t="shared" si="12"/>
        <v>0</v>
      </c>
      <c r="S187" s="28">
        <f t="shared" si="13"/>
        <v>0</v>
      </c>
    </row>
    <row r="188" spans="1:19" x14ac:dyDescent="0.35">
      <c r="A188" s="9"/>
      <c r="B188" s="32"/>
      <c r="C188" s="28">
        <f>IF(Check!$B$87=1,1,IF(R188&lt;1,0,1))</f>
        <v>1</v>
      </c>
      <c r="D188" s="28">
        <f t="shared" si="14"/>
        <v>1</v>
      </c>
      <c r="E188" s="32">
        <v>46012</v>
      </c>
      <c r="F188" s="28">
        <f>SUMIF(Transactions!$C$18:$C$46,'Percentage Calc'!$E188,Transactions!D$18:D$46)</f>
        <v>0</v>
      </c>
      <c r="G188" s="28">
        <f>SUMIF(Transactions!$C$18:$C$46,'Percentage Calc'!$E188,Transactions!E$18:E$46)</f>
        <v>0</v>
      </c>
      <c r="H188" s="28">
        <f>SUMIF(Transactions!$C$18:$C$46,'Percentage Calc'!$E188,Transactions!F$18:F$46)</f>
        <v>0</v>
      </c>
      <c r="I188" s="28">
        <f>SUMIF(Transactions!$C$18:$C$46,'Percentage Calc'!$E188,Transactions!G$18:G$46)</f>
        <v>0</v>
      </c>
      <c r="J188" s="28">
        <f t="shared" si="10"/>
        <v>0</v>
      </c>
      <c r="K188" s="28">
        <f t="shared" si="11"/>
        <v>0</v>
      </c>
      <c r="L188" s="32"/>
      <c r="M188" s="28">
        <f>SUMIF(Transactions!$K$19:$K$46,'Percentage Calc'!$E188,Transactions!L$19:L$46)</f>
        <v>0</v>
      </c>
      <c r="N188" s="28">
        <f>SUMIF(Transactions!$K$19:$K$46,'Percentage Calc'!$E188,Transactions!M$19:M$46)</f>
        <v>0</v>
      </c>
      <c r="O188" s="28">
        <f>SUMIF(Transactions!$K$19:$K$46,'Percentage Calc'!$E188,Transactions!N$19:N$46)</f>
        <v>0</v>
      </c>
      <c r="P188" s="28">
        <f>SUMIF(Transactions!$K$19:$K$46,'Percentage Calc'!$E188,Transactions!O$19:O$46)</f>
        <v>0</v>
      </c>
      <c r="Q188" s="28">
        <f>SUMIF(Transactions!$K$19:$K$46,'Percentage Calc'!$E188,Transactions!P$19:P$46)</f>
        <v>0</v>
      </c>
      <c r="R188" s="28">
        <f t="shared" si="12"/>
        <v>0</v>
      </c>
      <c r="S188" s="28">
        <f t="shared" si="13"/>
        <v>0</v>
      </c>
    </row>
    <row r="189" spans="1:19" x14ac:dyDescent="0.35">
      <c r="A189" s="9"/>
      <c r="B189" s="32"/>
      <c r="C189" s="28">
        <f>IF(Check!$B$87=1,1,IF(R189&lt;1,0,1))</f>
        <v>1</v>
      </c>
      <c r="D189" s="28">
        <f t="shared" si="14"/>
        <v>1</v>
      </c>
      <c r="E189" s="32">
        <v>46013</v>
      </c>
      <c r="F189" s="28">
        <f>SUMIF(Transactions!$C$18:$C$46,'Percentage Calc'!$E189,Transactions!D$18:D$46)</f>
        <v>0</v>
      </c>
      <c r="G189" s="28">
        <f>SUMIF(Transactions!$C$18:$C$46,'Percentage Calc'!$E189,Transactions!E$18:E$46)</f>
        <v>0</v>
      </c>
      <c r="H189" s="28">
        <f>SUMIF(Transactions!$C$18:$C$46,'Percentage Calc'!$E189,Transactions!F$18:F$46)</f>
        <v>0</v>
      </c>
      <c r="I189" s="28">
        <f>SUMIF(Transactions!$C$18:$C$46,'Percentage Calc'!$E189,Transactions!G$18:G$46)</f>
        <v>0</v>
      </c>
      <c r="J189" s="28">
        <f t="shared" si="10"/>
        <v>0</v>
      </c>
      <c r="K189" s="28">
        <f t="shared" si="11"/>
        <v>0</v>
      </c>
      <c r="L189" s="32"/>
      <c r="M189" s="28">
        <f>SUMIF(Transactions!$K$19:$K$46,'Percentage Calc'!$E189,Transactions!L$19:L$46)</f>
        <v>0</v>
      </c>
      <c r="N189" s="28">
        <f>SUMIF(Transactions!$K$19:$K$46,'Percentage Calc'!$E189,Transactions!M$19:M$46)</f>
        <v>0</v>
      </c>
      <c r="O189" s="28">
        <f>SUMIF(Transactions!$K$19:$K$46,'Percentage Calc'!$E189,Transactions!N$19:N$46)</f>
        <v>0</v>
      </c>
      <c r="P189" s="28">
        <f>SUMIF(Transactions!$K$19:$K$46,'Percentage Calc'!$E189,Transactions!O$19:O$46)</f>
        <v>0</v>
      </c>
      <c r="Q189" s="28">
        <f>SUMIF(Transactions!$K$19:$K$46,'Percentage Calc'!$E189,Transactions!P$19:P$46)</f>
        <v>0</v>
      </c>
      <c r="R189" s="28">
        <f t="shared" si="12"/>
        <v>0</v>
      </c>
      <c r="S189" s="28">
        <f t="shared" si="13"/>
        <v>0</v>
      </c>
    </row>
    <row r="190" spans="1:19" x14ac:dyDescent="0.35">
      <c r="A190" s="9"/>
      <c r="B190" s="32"/>
      <c r="C190" s="28">
        <f>IF(Check!$B$87=1,1,IF(R190&lt;1,0,1))</f>
        <v>1</v>
      </c>
      <c r="D190" s="28">
        <f t="shared" si="14"/>
        <v>1</v>
      </c>
      <c r="E190" s="32">
        <v>46014</v>
      </c>
      <c r="F190" s="28">
        <f>SUMIF(Transactions!$C$18:$C$46,'Percentage Calc'!$E190,Transactions!D$18:D$46)</f>
        <v>0</v>
      </c>
      <c r="G190" s="28">
        <f>SUMIF(Transactions!$C$18:$C$46,'Percentage Calc'!$E190,Transactions!E$18:E$46)</f>
        <v>0</v>
      </c>
      <c r="H190" s="28">
        <f>SUMIF(Transactions!$C$18:$C$46,'Percentage Calc'!$E190,Transactions!F$18:F$46)</f>
        <v>0</v>
      </c>
      <c r="I190" s="28">
        <f>SUMIF(Transactions!$C$18:$C$46,'Percentage Calc'!$E190,Transactions!G$18:G$46)</f>
        <v>0</v>
      </c>
      <c r="J190" s="28">
        <f t="shared" si="10"/>
        <v>0</v>
      </c>
      <c r="K190" s="28">
        <f t="shared" si="11"/>
        <v>0</v>
      </c>
      <c r="L190" s="32"/>
      <c r="M190" s="28">
        <f>SUMIF(Transactions!$K$19:$K$46,'Percentage Calc'!$E190,Transactions!L$19:L$46)</f>
        <v>0</v>
      </c>
      <c r="N190" s="28">
        <f>SUMIF(Transactions!$K$19:$K$46,'Percentage Calc'!$E190,Transactions!M$19:M$46)</f>
        <v>0</v>
      </c>
      <c r="O190" s="28">
        <f>SUMIF(Transactions!$K$19:$K$46,'Percentage Calc'!$E190,Transactions!N$19:N$46)</f>
        <v>0</v>
      </c>
      <c r="P190" s="28">
        <f>SUMIF(Transactions!$K$19:$K$46,'Percentage Calc'!$E190,Transactions!O$19:O$46)</f>
        <v>0</v>
      </c>
      <c r="Q190" s="28">
        <f>SUMIF(Transactions!$K$19:$K$46,'Percentage Calc'!$E190,Transactions!P$19:P$46)</f>
        <v>0</v>
      </c>
      <c r="R190" s="28">
        <f t="shared" si="12"/>
        <v>0</v>
      </c>
      <c r="S190" s="28">
        <f t="shared" si="13"/>
        <v>0</v>
      </c>
    </row>
    <row r="191" spans="1:19" x14ac:dyDescent="0.35">
      <c r="A191" s="9"/>
      <c r="B191" s="32"/>
      <c r="C191" s="28">
        <f>IF(Check!$B$87=1,1,IF(R191&lt;1,0,1))</f>
        <v>1</v>
      </c>
      <c r="D191" s="28">
        <f t="shared" si="14"/>
        <v>1</v>
      </c>
      <c r="E191" s="32">
        <v>46015</v>
      </c>
      <c r="F191" s="28">
        <f>SUMIF(Transactions!$C$18:$C$46,'Percentage Calc'!$E191,Transactions!D$18:D$46)</f>
        <v>0</v>
      </c>
      <c r="G191" s="28">
        <f>SUMIF(Transactions!$C$18:$C$46,'Percentage Calc'!$E191,Transactions!E$18:E$46)</f>
        <v>0</v>
      </c>
      <c r="H191" s="28">
        <f>SUMIF(Transactions!$C$18:$C$46,'Percentage Calc'!$E191,Transactions!F$18:F$46)</f>
        <v>0</v>
      </c>
      <c r="I191" s="28">
        <f>SUMIF(Transactions!$C$18:$C$46,'Percentage Calc'!$E191,Transactions!G$18:G$46)</f>
        <v>0</v>
      </c>
      <c r="J191" s="28">
        <f t="shared" si="10"/>
        <v>0</v>
      </c>
      <c r="K191" s="28">
        <f t="shared" si="11"/>
        <v>0</v>
      </c>
      <c r="L191" s="32"/>
      <c r="M191" s="28">
        <f>SUMIF(Transactions!$K$19:$K$46,'Percentage Calc'!$E191,Transactions!L$19:L$46)</f>
        <v>0</v>
      </c>
      <c r="N191" s="28">
        <f>SUMIF(Transactions!$K$19:$K$46,'Percentage Calc'!$E191,Transactions!M$19:M$46)</f>
        <v>0</v>
      </c>
      <c r="O191" s="28">
        <f>SUMIF(Transactions!$K$19:$K$46,'Percentage Calc'!$E191,Transactions!N$19:N$46)</f>
        <v>0</v>
      </c>
      <c r="P191" s="28">
        <f>SUMIF(Transactions!$K$19:$K$46,'Percentage Calc'!$E191,Transactions!O$19:O$46)</f>
        <v>0</v>
      </c>
      <c r="Q191" s="28">
        <f>SUMIF(Transactions!$K$19:$K$46,'Percentage Calc'!$E191,Transactions!P$19:P$46)</f>
        <v>0</v>
      </c>
      <c r="R191" s="28">
        <f t="shared" si="12"/>
        <v>0</v>
      </c>
      <c r="S191" s="28">
        <f t="shared" si="13"/>
        <v>0</v>
      </c>
    </row>
    <row r="192" spans="1:19" x14ac:dyDescent="0.35">
      <c r="A192" s="9"/>
      <c r="B192" s="32"/>
      <c r="C192" s="28">
        <f>IF(Check!$B$87=1,1,IF(R192&lt;1,0,1))</f>
        <v>1</v>
      </c>
      <c r="D192" s="28">
        <f t="shared" si="14"/>
        <v>1</v>
      </c>
      <c r="E192" s="32">
        <v>46016</v>
      </c>
      <c r="F192" s="28">
        <f>SUMIF(Transactions!$C$18:$C$46,'Percentage Calc'!$E192,Transactions!D$18:D$46)</f>
        <v>0</v>
      </c>
      <c r="G192" s="28">
        <f>SUMIF(Transactions!$C$18:$C$46,'Percentage Calc'!$E192,Transactions!E$18:E$46)</f>
        <v>0</v>
      </c>
      <c r="H192" s="28">
        <f>SUMIF(Transactions!$C$18:$C$46,'Percentage Calc'!$E192,Transactions!F$18:F$46)</f>
        <v>0</v>
      </c>
      <c r="I192" s="28">
        <f>SUMIF(Transactions!$C$18:$C$46,'Percentage Calc'!$E192,Transactions!G$18:G$46)</f>
        <v>0</v>
      </c>
      <c r="J192" s="28">
        <f t="shared" si="10"/>
        <v>0</v>
      </c>
      <c r="K192" s="28">
        <f t="shared" si="11"/>
        <v>0</v>
      </c>
      <c r="L192" s="32"/>
      <c r="M192" s="28">
        <f>SUMIF(Transactions!$K$19:$K$46,'Percentage Calc'!$E192,Transactions!L$19:L$46)</f>
        <v>0</v>
      </c>
      <c r="N192" s="28">
        <f>SUMIF(Transactions!$K$19:$K$46,'Percentage Calc'!$E192,Transactions!M$19:M$46)</f>
        <v>0</v>
      </c>
      <c r="O192" s="28">
        <f>SUMIF(Transactions!$K$19:$K$46,'Percentage Calc'!$E192,Transactions!N$19:N$46)</f>
        <v>0</v>
      </c>
      <c r="P192" s="28">
        <f>SUMIF(Transactions!$K$19:$K$46,'Percentage Calc'!$E192,Transactions!O$19:O$46)</f>
        <v>0</v>
      </c>
      <c r="Q192" s="28">
        <f>SUMIF(Transactions!$K$19:$K$46,'Percentage Calc'!$E192,Transactions!P$19:P$46)</f>
        <v>0</v>
      </c>
      <c r="R192" s="28">
        <f t="shared" si="12"/>
        <v>0</v>
      </c>
      <c r="S192" s="28">
        <f t="shared" si="13"/>
        <v>0</v>
      </c>
    </row>
    <row r="193" spans="1:19" x14ac:dyDescent="0.35">
      <c r="A193" s="9"/>
      <c r="B193" s="32"/>
      <c r="C193" s="28">
        <f>IF(Check!$B$87=1,1,IF(R193&lt;1,0,1))</f>
        <v>1</v>
      </c>
      <c r="D193" s="28">
        <f t="shared" si="14"/>
        <v>1</v>
      </c>
      <c r="E193" s="32">
        <v>46017</v>
      </c>
      <c r="F193" s="28">
        <f>SUMIF(Transactions!$C$18:$C$46,'Percentage Calc'!$E193,Transactions!D$18:D$46)</f>
        <v>0</v>
      </c>
      <c r="G193" s="28">
        <f>SUMIF(Transactions!$C$18:$C$46,'Percentage Calc'!$E193,Transactions!E$18:E$46)</f>
        <v>0</v>
      </c>
      <c r="H193" s="28">
        <f>SUMIF(Transactions!$C$18:$C$46,'Percentage Calc'!$E193,Transactions!F$18:F$46)</f>
        <v>0</v>
      </c>
      <c r="I193" s="28">
        <f>SUMIF(Transactions!$C$18:$C$46,'Percentage Calc'!$E193,Transactions!G$18:G$46)</f>
        <v>0</v>
      </c>
      <c r="J193" s="28">
        <f t="shared" si="10"/>
        <v>0</v>
      </c>
      <c r="K193" s="28">
        <f t="shared" si="11"/>
        <v>0</v>
      </c>
      <c r="L193" s="32"/>
      <c r="M193" s="28">
        <f>SUMIF(Transactions!$K$19:$K$46,'Percentage Calc'!$E193,Transactions!L$19:L$46)</f>
        <v>0</v>
      </c>
      <c r="N193" s="28">
        <f>SUMIF(Transactions!$K$19:$K$46,'Percentage Calc'!$E193,Transactions!M$19:M$46)</f>
        <v>0</v>
      </c>
      <c r="O193" s="28">
        <f>SUMIF(Transactions!$K$19:$K$46,'Percentage Calc'!$E193,Transactions!N$19:N$46)</f>
        <v>0</v>
      </c>
      <c r="P193" s="28">
        <f>SUMIF(Transactions!$K$19:$K$46,'Percentage Calc'!$E193,Transactions!O$19:O$46)</f>
        <v>0</v>
      </c>
      <c r="Q193" s="28">
        <f>SUMIF(Transactions!$K$19:$K$46,'Percentage Calc'!$E193,Transactions!P$19:P$46)</f>
        <v>0</v>
      </c>
      <c r="R193" s="28">
        <f t="shared" si="12"/>
        <v>0</v>
      </c>
      <c r="S193" s="28">
        <f t="shared" si="13"/>
        <v>0</v>
      </c>
    </row>
    <row r="194" spans="1:19" x14ac:dyDescent="0.35">
      <c r="A194" s="9"/>
      <c r="B194" s="32"/>
      <c r="C194" s="28">
        <f>IF(Check!$B$87=1,1,IF(R194&lt;1,0,1))</f>
        <v>1</v>
      </c>
      <c r="D194" s="28">
        <f t="shared" si="14"/>
        <v>1</v>
      </c>
      <c r="E194" s="32">
        <v>46018</v>
      </c>
      <c r="F194" s="28">
        <f>SUMIF(Transactions!$C$18:$C$46,'Percentage Calc'!$E194,Transactions!D$18:D$46)</f>
        <v>0</v>
      </c>
      <c r="G194" s="28">
        <f>SUMIF(Transactions!$C$18:$C$46,'Percentage Calc'!$E194,Transactions!E$18:E$46)</f>
        <v>0</v>
      </c>
      <c r="H194" s="28">
        <f>SUMIF(Transactions!$C$18:$C$46,'Percentage Calc'!$E194,Transactions!F$18:F$46)</f>
        <v>0</v>
      </c>
      <c r="I194" s="28">
        <f>SUMIF(Transactions!$C$18:$C$46,'Percentage Calc'!$E194,Transactions!G$18:G$46)</f>
        <v>0</v>
      </c>
      <c r="J194" s="28">
        <f t="shared" si="10"/>
        <v>0</v>
      </c>
      <c r="K194" s="28">
        <f t="shared" si="11"/>
        <v>0</v>
      </c>
      <c r="L194" s="32"/>
      <c r="M194" s="28">
        <f>SUMIF(Transactions!$K$19:$K$46,'Percentage Calc'!$E194,Transactions!L$19:L$46)</f>
        <v>0</v>
      </c>
      <c r="N194" s="28">
        <f>SUMIF(Transactions!$K$19:$K$46,'Percentage Calc'!$E194,Transactions!M$19:M$46)</f>
        <v>0</v>
      </c>
      <c r="O194" s="28">
        <f>SUMIF(Transactions!$K$19:$K$46,'Percentage Calc'!$E194,Transactions!N$19:N$46)</f>
        <v>0</v>
      </c>
      <c r="P194" s="28">
        <f>SUMIF(Transactions!$K$19:$K$46,'Percentage Calc'!$E194,Transactions!O$19:O$46)</f>
        <v>0</v>
      </c>
      <c r="Q194" s="28">
        <f>SUMIF(Transactions!$K$19:$K$46,'Percentage Calc'!$E194,Transactions!P$19:P$46)</f>
        <v>0</v>
      </c>
      <c r="R194" s="28">
        <f t="shared" si="12"/>
        <v>0</v>
      </c>
      <c r="S194" s="28">
        <f t="shared" si="13"/>
        <v>0</v>
      </c>
    </row>
    <row r="195" spans="1:19" x14ac:dyDescent="0.35">
      <c r="A195" s="9"/>
      <c r="B195" s="32"/>
      <c r="C195" s="28">
        <f>IF(Check!$B$87=1,1,IF(R195&lt;1,0,1))</f>
        <v>1</v>
      </c>
      <c r="D195" s="28">
        <f t="shared" si="14"/>
        <v>1</v>
      </c>
      <c r="E195" s="32">
        <v>46019</v>
      </c>
      <c r="F195" s="28">
        <f>SUMIF(Transactions!$C$18:$C$46,'Percentage Calc'!$E195,Transactions!D$18:D$46)</f>
        <v>0</v>
      </c>
      <c r="G195" s="28">
        <f>SUMIF(Transactions!$C$18:$C$46,'Percentage Calc'!$E195,Transactions!E$18:E$46)</f>
        <v>0</v>
      </c>
      <c r="H195" s="28">
        <f>SUMIF(Transactions!$C$18:$C$46,'Percentage Calc'!$E195,Transactions!F$18:F$46)</f>
        <v>0</v>
      </c>
      <c r="I195" s="28">
        <f>SUMIF(Transactions!$C$18:$C$46,'Percentage Calc'!$E195,Transactions!G$18:G$46)</f>
        <v>0</v>
      </c>
      <c r="J195" s="28">
        <f t="shared" si="10"/>
        <v>0</v>
      </c>
      <c r="K195" s="28">
        <f t="shared" si="11"/>
        <v>0</v>
      </c>
      <c r="L195" s="32"/>
      <c r="M195" s="28">
        <f>SUMIF(Transactions!$K$19:$K$46,'Percentage Calc'!$E195,Transactions!L$19:L$46)</f>
        <v>0</v>
      </c>
      <c r="N195" s="28">
        <f>SUMIF(Transactions!$K$19:$K$46,'Percentage Calc'!$E195,Transactions!M$19:M$46)</f>
        <v>0</v>
      </c>
      <c r="O195" s="28">
        <f>SUMIF(Transactions!$K$19:$K$46,'Percentage Calc'!$E195,Transactions!N$19:N$46)</f>
        <v>0</v>
      </c>
      <c r="P195" s="28">
        <f>SUMIF(Transactions!$K$19:$K$46,'Percentage Calc'!$E195,Transactions!O$19:O$46)</f>
        <v>0</v>
      </c>
      <c r="Q195" s="28">
        <f>SUMIF(Transactions!$K$19:$K$46,'Percentage Calc'!$E195,Transactions!P$19:P$46)</f>
        <v>0</v>
      </c>
      <c r="R195" s="28">
        <f t="shared" si="12"/>
        <v>0</v>
      </c>
      <c r="S195" s="28">
        <f t="shared" si="13"/>
        <v>0</v>
      </c>
    </row>
    <row r="196" spans="1:19" x14ac:dyDescent="0.35">
      <c r="A196" s="9"/>
      <c r="B196" s="32"/>
      <c r="C196" s="28">
        <f>IF(Check!$B$87=1,1,IF(R196&lt;1,0,1))</f>
        <v>1</v>
      </c>
      <c r="D196" s="28">
        <f t="shared" si="14"/>
        <v>1</v>
      </c>
      <c r="E196" s="32">
        <v>46020</v>
      </c>
      <c r="F196" s="28">
        <f>SUMIF(Transactions!$C$18:$C$46,'Percentage Calc'!$E196,Transactions!D$18:D$46)</f>
        <v>0</v>
      </c>
      <c r="G196" s="28">
        <f>SUMIF(Transactions!$C$18:$C$46,'Percentage Calc'!$E196,Transactions!E$18:E$46)</f>
        <v>0</v>
      </c>
      <c r="H196" s="28">
        <f>SUMIF(Transactions!$C$18:$C$46,'Percentage Calc'!$E196,Transactions!F$18:F$46)</f>
        <v>0</v>
      </c>
      <c r="I196" s="28">
        <f>SUMIF(Transactions!$C$18:$C$46,'Percentage Calc'!$E196,Transactions!G$18:G$46)</f>
        <v>0</v>
      </c>
      <c r="J196" s="28">
        <f t="shared" si="10"/>
        <v>0</v>
      </c>
      <c r="K196" s="28">
        <f t="shared" si="11"/>
        <v>0</v>
      </c>
      <c r="L196" s="32"/>
      <c r="M196" s="28">
        <f>SUMIF(Transactions!$K$19:$K$46,'Percentage Calc'!$E196,Transactions!L$19:L$46)</f>
        <v>0</v>
      </c>
      <c r="N196" s="28">
        <f>SUMIF(Transactions!$K$19:$K$46,'Percentage Calc'!$E196,Transactions!M$19:M$46)</f>
        <v>0</v>
      </c>
      <c r="O196" s="28">
        <f>SUMIF(Transactions!$K$19:$K$46,'Percentage Calc'!$E196,Transactions!N$19:N$46)</f>
        <v>0</v>
      </c>
      <c r="P196" s="28">
        <f>SUMIF(Transactions!$K$19:$K$46,'Percentage Calc'!$E196,Transactions!O$19:O$46)</f>
        <v>0</v>
      </c>
      <c r="Q196" s="28">
        <f>SUMIF(Transactions!$K$19:$K$46,'Percentage Calc'!$E196,Transactions!P$19:P$46)</f>
        <v>0</v>
      </c>
      <c r="R196" s="28">
        <f t="shared" si="12"/>
        <v>0</v>
      </c>
      <c r="S196" s="28">
        <f t="shared" si="13"/>
        <v>0</v>
      </c>
    </row>
    <row r="197" spans="1:19" x14ac:dyDescent="0.35">
      <c r="A197" s="9"/>
      <c r="B197" s="32"/>
      <c r="C197" s="28">
        <f>IF(Check!$B$87=1,1,IF(R197&lt;1,0,1))</f>
        <v>1</v>
      </c>
      <c r="D197" s="28">
        <f t="shared" si="14"/>
        <v>1</v>
      </c>
      <c r="E197" s="32">
        <v>46021</v>
      </c>
      <c r="F197" s="28">
        <f>SUMIF(Transactions!$C$18:$C$46,'Percentage Calc'!$E197,Transactions!D$18:D$46)</f>
        <v>0</v>
      </c>
      <c r="G197" s="28">
        <f>SUMIF(Transactions!$C$18:$C$46,'Percentage Calc'!$E197,Transactions!E$18:E$46)</f>
        <v>0</v>
      </c>
      <c r="H197" s="28">
        <f>SUMIF(Transactions!$C$18:$C$46,'Percentage Calc'!$E197,Transactions!F$18:F$46)</f>
        <v>0</v>
      </c>
      <c r="I197" s="28">
        <f>SUMIF(Transactions!$C$18:$C$46,'Percentage Calc'!$E197,Transactions!G$18:G$46)</f>
        <v>0</v>
      </c>
      <c r="J197" s="28">
        <f t="shared" si="10"/>
        <v>0</v>
      </c>
      <c r="K197" s="28">
        <f t="shared" si="11"/>
        <v>0</v>
      </c>
      <c r="L197" s="32"/>
      <c r="M197" s="28">
        <f>SUMIF(Transactions!$K$19:$K$46,'Percentage Calc'!$E197,Transactions!L$19:L$46)</f>
        <v>0</v>
      </c>
      <c r="N197" s="28">
        <f>SUMIF(Transactions!$K$19:$K$46,'Percentage Calc'!$E197,Transactions!M$19:M$46)</f>
        <v>0</v>
      </c>
      <c r="O197" s="28">
        <f>SUMIF(Transactions!$K$19:$K$46,'Percentage Calc'!$E197,Transactions!N$19:N$46)</f>
        <v>0</v>
      </c>
      <c r="P197" s="28">
        <f>SUMIF(Transactions!$K$19:$K$46,'Percentage Calc'!$E197,Transactions!O$19:O$46)</f>
        <v>0</v>
      </c>
      <c r="Q197" s="28">
        <f>SUMIF(Transactions!$K$19:$K$46,'Percentage Calc'!$E197,Transactions!P$19:P$46)</f>
        <v>0</v>
      </c>
      <c r="R197" s="28">
        <f t="shared" si="12"/>
        <v>0</v>
      </c>
      <c r="S197" s="28">
        <f t="shared" si="13"/>
        <v>0</v>
      </c>
    </row>
    <row r="198" spans="1:19" x14ac:dyDescent="0.35">
      <c r="A198" s="9"/>
      <c r="B198" s="32"/>
      <c r="C198" s="28">
        <f>IF(Check!$B$87=1,1,IF(R198&lt;1,0,1))</f>
        <v>1</v>
      </c>
      <c r="D198" s="28">
        <f t="shared" si="14"/>
        <v>1</v>
      </c>
      <c r="E198" s="32">
        <v>46022</v>
      </c>
      <c r="F198" s="28">
        <f>SUMIF(Transactions!$C$18:$C$46,'Percentage Calc'!$E198,Transactions!D$18:D$46)</f>
        <v>0</v>
      </c>
      <c r="G198" s="28">
        <f>SUMIF(Transactions!$C$18:$C$46,'Percentage Calc'!$E198,Transactions!E$18:E$46)</f>
        <v>0</v>
      </c>
      <c r="H198" s="28">
        <f>SUMIF(Transactions!$C$18:$C$46,'Percentage Calc'!$E198,Transactions!F$18:F$46)</f>
        <v>0</v>
      </c>
      <c r="I198" s="28">
        <f>SUMIF(Transactions!$C$18:$C$46,'Percentage Calc'!$E198,Transactions!G$18:G$46)</f>
        <v>0</v>
      </c>
      <c r="J198" s="28">
        <f t="shared" si="10"/>
        <v>0</v>
      </c>
      <c r="K198" s="28">
        <f t="shared" si="11"/>
        <v>0</v>
      </c>
      <c r="L198" s="32"/>
      <c r="M198" s="28">
        <f>SUMIF(Transactions!$K$19:$K$46,'Percentage Calc'!$E198,Transactions!L$19:L$46)</f>
        <v>0</v>
      </c>
      <c r="N198" s="28">
        <f>SUMIF(Transactions!$K$19:$K$46,'Percentage Calc'!$E198,Transactions!M$19:M$46)</f>
        <v>0</v>
      </c>
      <c r="O198" s="28">
        <f>SUMIF(Transactions!$K$19:$K$46,'Percentage Calc'!$E198,Transactions!N$19:N$46)</f>
        <v>0</v>
      </c>
      <c r="P198" s="28">
        <f>SUMIF(Transactions!$K$19:$K$46,'Percentage Calc'!$E198,Transactions!O$19:O$46)</f>
        <v>0</v>
      </c>
      <c r="Q198" s="28">
        <f>SUMIF(Transactions!$K$19:$K$46,'Percentage Calc'!$E198,Transactions!P$19:P$46)</f>
        <v>0</v>
      </c>
      <c r="R198" s="28">
        <f t="shared" si="12"/>
        <v>0</v>
      </c>
      <c r="S198" s="28">
        <f t="shared" si="13"/>
        <v>0</v>
      </c>
    </row>
    <row r="199" spans="1:19" x14ac:dyDescent="0.35">
      <c r="A199" s="9"/>
      <c r="B199" s="32"/>
      <c r="C199" s="28">
        <f>IF(Check!$B$87=1,1,IF(R199&lt;1,0,1))</f>
        <v>1</v>
      </c>
      <c r="D199" s="28">
        <f t="shared" si="14"/>
        <v>1</v>
      </c>
      <c r="E199" s="32">
        <v>46023</v>
      </c>
      <c r="F199" s="28">
        <f>SUMIF(Transactions!$C$18:$C$46,'Percentage Calc'!$E199,Transactions!D$18:D$46)+Transactions!D16+Transactions!D17</f>
        <v>0</v>
      </c>
      <c r="G199" s="28">
        <f>SUMIF(Transactions!$C$18:$C$46,'Percentage Calc'!$E199,Transactions!E$18:E$46)+Transactions!E16+Transactions!E17</f>
        <v>0</v>
      </c>
      <c r="H199" s="28">
        <f>SUMIF(Transactions!$C$18:$C$46,'Percentage Calc'!$E199,Transactions!F$18:F$46)+Transactions!F16+Transactions!F17</f>
        <v>0</v>
      </c>
      <c r="I199" s="28">
        <f>SUMIF(Transactions!$C$18:$C$46,'Percentage Calc'!$E199,Transactions!G$18:G$46)+Transactions!G16+Transactions!G17</f>
        <v>0</v>
      </c>
      <c r="J199" s="28">
        <f t="shared" si="10"/>
        <v>0</v>
      </c>
      <c r="K199" s="28">
        <f t="shared" ref="K199:K207" si="15">ROUND($C199*J199/$E$4,3)</f>
        <v>0</v>
      </c>
      <c r="L199" s="32"/>
      <c r="M199" s="28">
        <f>SUMIF(Transactions!$K$19:$K$46,'Percentage Calc'!$E199,Transactions!L$19:L$46)+Transactions!L16+Transactions!L17+Transactions!L18</f>
        <v>0</v>
      </c>
      <c r="N199" s="28">
        <f>SUMIF(Transactions!$K$19:$K$46,'Percentage Calc'!$E199,Transactions!M$19:M$46)+Transactions!M16+Transactions!M17+Transactions!M18</f>
        <v>0</v>
      </c>
      <c r="O199" s="28">
        <f>SUMIF(Transactions!$K$19:$K$46,'Percentage Calc'!$E199,Transactions!N$19:N$46)+Transactions!N16+Transactions!N17+Transactions!N18</f>
        <v>0</v>
      </c>
      <c r="P199" s="28">
        <f>SUMIF(Transactions!$K$19:$K$46,'Percentage Calc'!$E199,Transactions!O$19:O$46)+Transactions!O16+Transactions!O17+Transactions!O18</f>
        <v>0</v>
      </c>
      <c r="Q199" s="28">
        <f>SUMIF(Transactions!$K$19:$K$46,'Percentage Calc'!$E199,Transactions!P$19:P$46)+Transactions!P16+Transactions!P17+Transactions!P18</f>
        <v>0</v>
      </c>
      <c r="R199" s="28">
        <f t="shared" si="12"/>
        <v>0</v>
      </c>
      <c r="S199" s="28">
        <f t="shared" si="13"/>
        <v>0</v>
      </c>
    </row>
    <row r="200" spans="1:19" x14ac:dyDescent="0.35">
      <c r="A200" s="9"/>
      <c r="B200" s="32"/>
      <c r="C200" s="28">
        <f>IF(Check!$B$87=1,1,IF(R200&lt;1,0,1))</f>
        <v>1</v>
      </c>
      <c r="D200" s="28">
        <f t="shared" si="14"/>
        <v>1</v>
      </c>
      <c r="E200" s="32">
        <v>46024</v>
      </c>
      <c r="F200" s="28">
        <f>SUMIF(Transactions!$C$18:$C$46,'Percentage Calc'!$E200,Transactions!D$18:D$46)</f>
        <v>0</v>
      </c>
      <c r="G200" s="28">
        <f>SUMIF(Transactions!$C$18:$C$46,'Percentage Calc'!$E200,Transactions!E$18:E$46)</f>
        <v>0</v>
      </c>
      <c r="H200" s="28">
        <f>SUMIF(Transactions!$C$18:$C$46,'Percentage Calc'!$E200,Transactions!F$18:F$46)</f>
        <v>0</v>
      </c>
      <c r="I200" s="28">
        <f>SUMIF(Transactions!$C$18:$C$46,'Percentage Calc'!$E200,Transactions!G$18:G$46)</f>
        <v>0</v>
      </c>
      <c r="J200" s="28">
        <f t="shared" si="10"/>
        <v>0</v>
      </c>
      <c r="K200" s="28">
        <f t="shared" si="15"/>
        <v>0</v>
      </c>
      <c r="L200" s="32"/>
      <c r="M200" s="28">
        <f>SUMIF(Transactions!$K$19:$K$46,'Percentage Calc'!$E200,Transactions!L$19:L$46)</f>
        <v>0</v>
      </c>
      <c r="N200" s="28">
        <f>SUMIF(Transactions!$K$19:$K$46,'Percentage Calc'!$E200,Transactions!M$19:M$46)</f>
        <v>0</v>
      </c>
      <c r="O200" s="28">
        <f>SUMIF(Transactions!$K$19:$K$46,'Percentage Calc'!$E200,Transactions!N$19:N$46)</f>
        <v>0</v>
      </c>
      <c r="P200" s="28">
        <f>SUMIF(Transactions!$K$19:$K$46,'Percentage Calc'!$E200,Transactions!O$19:O$46)</f>
        <v>0</v>
      </c>
      <c r="Q200" s="28">
        <f>SUMIF(Transactions!$K$19:$K$46,'Percentage Calc'!$E200,Transactions!P$19:P$46)</f>
        <v>0</v>
      </c>
      <c r="R200" s="28">
        <f t="shared" si="12"/>
        <v>0</v>
      </c>
      <c r="S200" s="28">
        <f t="shared" si="13"/>
        <v>0</v>
      </c>
    </row>
    <row r="201" spans="1:19" x14ac:dyDescent="0.35">
      <c r="A201" s="9"/>
      <c r="B201" s="32"/>
      <c r="C201" s="28">
        <f>IF(Check!$B$87=1,1,IF(R201&lt;1,0,1))</f>
        <v>1</v>
      </c>
      <c r="D201" s="28">
        <f t="shared" si="14"/>
        <v>1</v>
      </c>
      <c r="E201" s="32">
        <v>46025</v>
      </c>
      <c r="F201" s="28">
        <f>SUMIF(Transactions!$C$18:$C$46,'Percentage Calc'!$E201,Transactions!D$18:D$46)</f>
        <v>0</v>
      </c>
      <c r="G201" s="28">
        <f>SUMIF(Transactions!$C$18:$C$46,'Percentage Calc'!$E201,Transactions!E$18:E$46)</f>
        <v>0</v>
      </c>
      <c r="H201" s="28">
        <f>SUMIF(Transactions!$C$18:$C$46,'Percentage Calc'!$E201,Transactions!F$18:F$46)</f>
        <v>0</v>
      </c>
      <c r="I201" s="28">
        <f>SUMIF(Transactions!$C$18:$C$46,'Percentage Calc'!$E201,Transactions!G$18:G$46)</f>
        <v>0</v>
      </c>
      <c r="J201" s="28">
        <f t="shared" si="10"/>
        <v>0</v>
      </c>
      <c r="K201" s="28">
        <f t="shared" si="15"/>
        <v>0</v>
      </c>
      <c r="L201" s="32"/>
      <c r="M201" s="28">
        <f>SUMIF(Transactions!$K$19:$K$46,'Percentage Calc'!$E201,Transactions!L$19:L$46)</f>
        <v>0</v>
      </c>
      <c r="N201" s="28">
        <f>SUMIF(Transactions!$K$19:$K$46,'Percentage Calc'!$E201,Transactions!M$19:M$46)</f>
        <v>0</v>
      </c>
      <c r="O201" s="28">
        <f>SUMIF(Transactions!$K$19:$K$46,'Percentage Calc'!$E201,Transactions!N$19:N$46)</f>
        <v>0</v>
      </c>
      <c r="P201" s="28">
        <f>SUMIF(Transactions!$K$19:$K$46,'Percentage Calc'!$E201,Transactions!O$19:O$46)</f>
        <v>0</v>
      </c>
      <c r="Q201" s="28">
        <f>SUMIF(Transactions!$K$19:$K$46,'Percentage Calc'!$E201,Transactions!P$19:P$46)</f>
        <v>0</v>
      </c>
      <c r="R201" s="28">
        <f t="shared" si="12"/>
        <v>0</v>
      </c>
      <c r="S201" s="28">
        <f t="shared" si="13"/>
        <v>0</v>
      </c>
    </row>
    <row r="202" spans="1:19" x14ac:dyDescent="0.35">
      <c r="A202" s="9"/>
      <c r="B202" s="32"/>
      <c r="C202" s="28">
        <f>IF(Check!$B$87=1,1,IF(R202&lt;1,0,1))</f>
        <v>1</v>
      </c>
      <c r="D202" s="28">
        <f t="shared" si="14"/>
        <v>1</v>
      </c>
      <c r="E202" s="32">
        <v>46026</v>
      </c>
      <c r="F202" s="28">
        <f>SUMIF(Transactions!$C$18:$C$46,'Percentage Calc'!$E202,Transactions!D$18:D$46)</f>
        <v>0</v>
      </c>
      <c r="G202" s="28">
        <f>SUMIF(Transactions!$C$18:$C$46,'Percentage Calc'!$E202,Transactions!E$18:E$46)</f>
        <v>0</v>
      </c>
      <c r="H202" s="28">
        <f>SUMIF(Transactions!$C$18:$C$46,'Percentage Calc'!$E202,Transactions!F$18:F$46)</f>
        <v>0</v>
      </c>
      <c r="I202" s="28">
        <f>SUMIF(Transactions!$C$18:$C$46,'Percentage Calc'!$E202,Transactions!G$18:G$46)</f>
        <v>0</v>
      </c>
      <c r="J202" s="28">
        <f t="shared" si="10"/>
        <v>0</v>
      </c>
      <c r="K202" s="28">
        <f t="shared" si="15"/>
        <v>0</v>
      </c>
      <c r="L202" s="32"/>
      <c r="M202" s="28">
        <f>SUMIF(Transactions!$K$19:$K$46,'Percentage Calc'!$E202,Transactions!L$19:L$46)</f>
        <v>0</v>
      </c>
      <c r="N202" s="28">
        <f>SUMIF(Transactions!$K$19:$K$46,'Percentage Calc'!$E202,Transactions!M$19:M$46)</f>
        <v>0</v>
      </c>
      <c r="O202" s="28">
        <f>SUMIF(Transactions!$K$19:$K$46,'Percentage Calc'!$E202,Transactions!N$19:N$46)</f>
        <v>0</v>
      </c>
      <c r="P202" s="28">
        <f>SUMIF(Transactions!$K$19:$K$46,'Percentage Calc'!$E202,Transactions!O$19:O$46)</f>
        <v>0</v>
      </c>
      <c r="Q202" s="28">
        <f>SUMIF(Transactions!$K$19:$K$46,'Percentage Calc'!$E202,Transactions!P$19:P$46)</f>
        <v>0</v>
      </c>
      <c r="R202" s="28">
        <f t="shared" si="12"/>
        <v>0</v>
      </c>
      <c r="S202" s="28">
        <f t="shared" si="13"/>
        <v>0</v>
      </c>
    </row>
    <row r="203" spans="1:19" x14ac:dyDescent="0.35">
      <c r="A203" s="9"/>
      <c r="B203" s="32"/>
      <c r="C203" s="28">
        <f>IF(Check!$B$87=1,1,IF(R203&lt;1,0,1))</f>
        <v>1</v>
      </c>
      <c r="D203" s="28">
        <f t="shared" si="14"/>
        <v>1</v>
      </c>
      <c r="E203" s="32">
        <v>46027</v>
      </c>
      <c r="F203" s="28">
        <f>SUMIF(Transactions!$C$18:$C$46,'Percentage Calc'!$E203,Transactions!D$18:D$46)</f>
        <v>0</v>
      </c>
      <c r="G203" s="28">
        <f>SUMIF(Transactions!$C$18:$C$46,'Percentage Calc'!$E203,Transactions!E$18:E$46)</f>
        <v>0</v>
      </c>
      <c r="H203" s="28">
        <f>SUMIF(Transactions!$C$18:$C$46,'Percentage Calc'!$E203,Transactions!F$18:F$46)</f>
        <v>0</v>
      </c>
      <c r="I203" s="28">
        <f>SUMIF(Transactions!$C$18:$C$46,'Percentage Calc'!$E203,Transactions!G$18:G$46)</f>
        <v>0</v>
      </c>
      <c r="J203" s="28">
        <f t="shared" si="10"/>
        <v>0</v>
      </c>
      <c r="K203" s="28">
        <f t="shared" si="15"/>
        <v>0</v>
      </c>
      <c r="L203" s="32"/>
      <c r="M203" s="28">
        <f>SUMIF(Transactions!$K$19:$K$46,'Percentage Calc'!$E203,Transactions!L$19:L$46)</f>
        <v>0</v>
      </c>
      <c r="N203" s="28">
        <f>SUMIF(Transactions!$K$19:$K$46,'Percentage Calc'!$E203,Transactions!M$19:M$46)</f>
        <v>0</v>
      </c>
      <c r="O203" s="28">
        <f>SUMIF(Transactions!$K$19:$K$46,'Percentage Calc'!$E203,Transactions!N$19:N$46)</f>
        <v>0</v>
      </c>
      <c r="P203" s="28">
        <f>SUMIF(Transactions!$K$19:$K$46,'Percentage Calc'!$E203,Transactions!O$19:O$46)</f>
        <v>0</v>
      </c>
      <c r="Q203" s="28">
        <f>SUMIF(Transactions!$K$19:$K$46,'Percentage Calc'!$E203,Transactions!P$19:P$46)</f>
        <v>0</v>
      </c>
      <c r="R203" s="28">
        <f t="shared" si="12"/>
        <v>0</v>
      </c>
      <c r="S203" s="28">
        <f t="shared" si="13"/>
        <v>0</v>
      </c>
    </row>
    <row r="204" spans="1:19" x14ac:dyDescent="0.35">
      <c r="A204" s="9"/>
      <c r="B204" s="32"/>
      <c r="C204" s="28">
        <f>IF(Check!$B$87=1,1,IF(R204&lt;1,0,1))</f>
        <v>1</v>
      </c>
      <c r="D204" s="28">
        <f t="shared" si="14"/>
        <v>1</v>
      </c>
      <c r="E204" s="32">
        <v>46028</v>
      </c>
      <c r="F204" s="28">
        <f>SUMIF(Transactions!$C$18:$C$46,'Percentage Calc'!$E204,Transactions!D$18:D$46)</f>
        <v>0</v>
      </c>
      <c r="G204" s="28">
        <f>SUMIF(Transactions!$C$18:$C$46,'Percentage Calc'!$E204,Transactions!E$18:E$46)</f>
        <v>0</v>
      </c>
      <c r="H204" s="28">
        <f>SUMIF(Transactions!$C$18:$C$46,'Percentage Calc'!$E204,Transactions!F$18:F$46)</f>
        <v>0</v>
      </c>
      <c r="I204" s="28">
        <f>SUMIF(Transactions!$C$18:$C$46,'Percentage Calc'!$E204,Transactions!G$18:G$46)</f>
        <v>0</v>
      </c>
      <c r="J204" s="28">
        <f t="shared" si="10"/>
        <v>0</v>
      </c>
      <c r="K204" s="28">
        <f t="shared" si="15"/>
        <v>0</v>
      </c>
      <c r="L204" s="32"/>
      <c r="M204" s="28">
        <f>SUMIF(Transactions!$K$19:$K$46,'Percentage Calc'!$E204,Transactions!L$19:L$46)</f>
        <v>0</v>
      </c>
      <c r="N204" s="28">
        <f>SUMIF(Transactions!$K$19:$K$46,'Percentage Calc'!$E204,Transactions!M$19:M$46)</f>
        <v>0</v>
      </c>
      <c r="O204" s="28">
        <f>SUMIF(Transactions!$K$19:$K$46,'Percentage Calc'!$E204,Transactions!N$19:N$46)</f>
        <v>0</v>
      </c>
      <c r="P204" s="28">
        <f>SUMIF(Transactions!$K$19:$K$46,'Percentage Calc'!$E204,Transactions!O$19:O$46)</f>
        <v>0</v>
      </c>
      <c r="Q204" s="28">
        <f>SUMIF(Transactions!$K$19:$K$46,'Percentage Calc'!$E204,Transactions!P$19:P$46)</f>
        <v>0</v>
      </c>
      <c r="R204" s="28">
        <f t="shared" si="12"/>
        <v>0</v>
      </c>
      <c r="S204" s="28">
        <f t="shared" si="13"/>
        <v>0</v>
      </c>
    </row>
    <row r="205" spans="1:19" x14ac:dyDescent="0.35">
      <c r="A205" s="9"/>
      <c r="B205" s="32"/>
      <c r="C205" s="28">
        <f>IF(Check!$B$87=1,1,IF(R205&lt;1,0,1))</f>
        <v>1</v>
      </c>
      <c r="D205" s="28">
        <f t="shared" si="14"/>
        <v>1</v>
      </c>
      <c r="E205" s="32">
        <v>46029</v>
      </c>
      <c r="F205" s="28">
        <f>SUMIF(Transactions!$C$18:$C$46,'Percentage Calc'!$E205,Transactions!D$18:D$46)</f>
        <v>0</v>
      </c>
      <c r="G205" s="28">
        <f>SUMIF(Transactions!$C$18:$C$46,'Percentage Calc'!$E205,Transactions!E$18:E$46)</f>
        <v>0</v>
      </c>
      <c r="H205" s="28">
        <f>SUMIF(Transactions!$C$18:$C$46,'Percentage Calc'!$E205,Transactions!F$18:F$46)</f>
        <v>0</v>
      </c>
      <c r="I205" s="28">
        <f>SUMIF(Transactions!$C$18:$C$46,'Percentage Calc'!$E205,Transactions!G$18:G$46)</f>
        <v>0</v>
      </c>
      <c r="J205" s="28">
        <f t="shared" si="10"/>
        <v>0</v>
      </c>
      <c r="K205" s="28">
        <f t="shared" si="15"/>
        <v>0</v>
      </c>
      <c r="L205" s="32"/>
      <c r="M205" s="28">
        <f>SUMIF(Transactions!$K$19:$K$46,'Percentage Calc'!$E205,Transactions!L$19:L$46)</f>
        <v>0</v>
      </c>
      <c r="N205" s="28">
        <f>SUMIF(Transactions!$K$19:$K$46,'Percentage Calc'!$E205,Transactions!M$19:M$46)</f>
        <v>0</v>
      </c>
      <c r="O205" s="28">
        <f>SUMIF(Transactions!$K$19:$K$46,'Percentage Calc'!$E205,Transactions!N$19:N$46)</f>
        <v>0</v>
      </c>
      <c r="P205" s="28">
        <f>SUMIF(Transactions!$K$19:$K$46,'Percentage Calc'!$E205,Transactions!O$19:O$46)</f>
        <v>0</v>
      </c>
      <c r="Q205" s="28">
        <f>SUMIF(Transactions!$K$19:$K$46,'Percentage Calc'!$E205,Transactions!P$19:P$46)</f>
        <v>0</v>
      </c>
      <c r="R205" s="28">
        <f t="shared" si="12"/>
        <v>0</v>
      </c>
      <c r="S205" s="28">
        <f t="shared" si="13"/>
        <v>0</v>
      </c>
    </row>
    <row r="206" spans="1:19" x14ac:dyDescent="0.35">
      <c r="A206" s="9"/>
      <c r="B206" s="32"/>
      <c r="C206" s="28">
        <f>IF(Check!$B$87=1,1,IF(R206&lt;1,0,1))</f>
        <v>1</v>
      </c>
      <c r="D206" s="28">
        <f t="shared" si="14"/>
        <v>1</v>
      </c>
      <c r="E206" s="32">
        <v>46030</v>
      </c>
      <c r="F206" s="28">
        <f>SUMIF(Transactions!$C$18:$C$46,'Percentage Calc'!$E206,Transactions!D$18:D$46)</f>
        <v>0</v>
      </c>
      <c r="G206" s="28">
        <f>SUMIF(Transactions!$C$18:$C$46,'Percentage Calc'!$E206,Transactions!E$18:E$46)</f>
        <v>0</v>
      </c>
      <c r="H206" s="28">
        <f>SUMIF(Transactions!$C$18:$C$46,'Percentage Calc'!$E206,Transactions!F$18:F$46)</f>
        <v>0</v>
      </c>
      <c r="I206" s="28">
        <f>SUMIF(Transactions!$C$18:$C$46,'Percentage Calc'!$E206,Transactions!G$18:G$46)</f>
        <v>0</v>
      </c>
      <c r="J206" s="28">
        <f t="shared" si="10"/>
        <v>0</v>
      </c>
      <c r="K206" s="28">
        <f t="shared" si="15"/>
        <v>0</v>
      </c>
      <c r="L206" s="32"/>
      <c r="M206" s="28">
        <f>SUMIF(Transactions!$K$19:$K$46,'Percentage Calc'!$E206,Transactions!L$19:L$46)</f>
        <v>0</v>
      </c>
      <c r="N206" s="28">
        <f>SUMIF(Transactions!$K$19:$K$46,'Percentage Calc'!$E206,Transactions!M$19:M$46)</f>
        <v>0</v>
      </c>
      <c r="O206" s="28">
        <f>SUMIF(Transactions!$K$19:$K$46,'Percentage Calc'!$E206,Transactions!N$19:N$46)</f>
        <v>0</v>
      </c>
      <c r="P206" s="28">
        <f>SUMIF(Transactions!$K$19:$K$46,'Percentage Calc'!$E206,Transactions!O$19:O$46)</f>
        <v>0</v>
      </c>
      <c r="Q206" s="28">
        <f>SUMIF(Transactions!$K$19:$K$46,'Percentage Calc'!$E206,Transactions!P$19:P$46)</f>
        <v>0</v>
      </c>
      <c r="R206" s="28">
        <f t="shared" si="12"/>
        <v>0</v>
      </c>
      <c r="S206" s="28">
        <f t="shared" si="13"/>
        <v>0</v>
      </c>
    </row>
    <row r="207" spans="1:19" x14ac:dyDescent="0.35">
      <c r="A207" s="9"/>
      <c r="B207" s="32"/>
      <c r="C207" s="28">
        <f>IF(Check!$B$87=1,1,IF(R207&lt;1,0,1))</f>
        <v>1</v>
      </c>
      <c r="D207" s="28">
        <f t="shared" si="14"/>
        <v>1</v>
      </c>
      <c r="E207" s="32">
        <v>46031</v>
      </c>
      <c r="F207" s="28">
        <f>SUMIF(Transactions!$C$18:$C$46,'Percentage Calc'!$E207,Transactions!D$18:D$46)</f>
        <v>0</v>
      </c>
      <c r="G207" s="28">
        <f>SUMIF(Transactions!$C$18:$C$46,'Percentage Calc'!$E207,Transactions!E$18:E$46)</f>
        <v>0</v>
      </c>
      <c r="H207" s="28">
        <f>SUMIF(Transactions!$C$18:$C$46,'Percentage Calc'!$E207,Transactions!F$18:F$46)</f>
        <v>0</v>
      </c>
      <c r="I207" s="28">
        <f>SUMIF(Transactions!$C$18:$C$46,'Percentage Calc'!$E207,Transactions!G$18:G$46)</f>
        <v>0</v>
      </c>
      <c r="J207" s="28">
        <f t="shared" si="10"/>
        <v>0</v>
      </c>
      <c r="K207" s="28">
        <f t="shared" si="15"/>
        <v>0</v>
      </c>
      <c r="L207" s="32"/>
      <c r="M207" s="28">
        <f>SUMIF(Transactions!$K$19:$K$46,'Percentage Calc'!$E207,Transactions!L$19:L$46)</f>
        <v>0</v>
      </c>
      <c r="N207" s="28">
        <f>SUMIF(Transactions!$K$19:$K$46,'Percentage Calc'!$E207,Transactions!M$19:M$46)</f>
        <v>0</v>
      </c>
      <c r="O207" s="28">
        <f>SUMIF(Transactions!$K$19:$K$46,'Percentage Calc'!$E207,Transactions!N$19:N$46)</f>
        <v>0</v>
      </c>
      <c r="P207" s="28">
        <f>SUMIF(Transactions!$K$19:$K$46,'Percentage Calc'!$E207,Transactions!O$19:O$46)</f>
        <v>0</v>
      </c>
      <c r="Q207" s="28">
        <f>SUMIF(Transactions!$K$19:$K$46,'Percentage Calc'!$E207,Transactions!P$19:P$46)</f>
        <v>0</v>
      </c>
      <c r="R207" s="28">
        <f t="shared" si="12"/>
        <v>0</v>
      </c>
      <c r="S207" s="28">
        <f t="shared" si="13"/>
        <v>0</v>
      </c>
    </row>
    <row r="208" spans="1:19" x14ac:dyDescent="0.35">
      <c r="A208" s="9"/>
      <c r="B208" s="32"/>
      <c r="C208" s="28">
        <f>IF(Check!$B$87=1,1,IF(R208&lt;1,0,1))</f>
        <v>1</v>
      </c>
      <c r="D208" s="28">
        <f t="shared" si="14"/>
        <v>1</v>
      </c>
      <c r="E208" s="32">
        <v>46032</v>
      </c>
      <c r="F208" s="28">
        <f>SUMIF(Transactions!$C$18:$C$46,'Percentage Calc'!$E208,Transactions!D$18:D$46)</f>
        <v>0</v>
      </c>
      <c r="G208" s="28">
        <f>SUMIF(Transactions!$C$18:$C$46,'Percentage Calc'!$E208,Transactions!E$18:E$46)</f>
        <v>0</v>
      </c>
      <c r="H208" s="28">
        <f>SUMIF(Transactions!$C$18:$C$46,'Percentage Calc'!$E208,Transactions!F$18:F$46)</f>
        <v>0</v>
      </c>
      <c r="I208" s="28">
        <f>SUMIF(Transactions!$C$18:$C$46,'Percentage Calc'!$E208,Transactions!G$18:G$46)</f>
        <v>0</v>
      </c>
      <c r="J208" s="28">
        <f t="shared" ref="J208:J226" si="16">SUM(F208:I208)+J207</f>
        <v>0</v>
      </c>
      <c r="K208" s="28">
        <f t="shared" ref="K208:K226" si="17">ROUND($C208*J208/$E$4,3)</f>
        <v>0</v>
      </c>
      <c r="L208" s="32"/>
      <c r="M208" s="28">
        <f>SUMIF(Transactions!$K$19:$K$46,'Percentage Calc'!$E208,Transactions!L$19:L$46)</f>
        <v>0</v>
      </c>
      <c r="N208" s="28">
        <f>SUMIF(Transactions!$K$19:$K$46,'Percentage Calc'!$E208,Transactions!M$19:M$46)</f>
        <v>0</v>
      </c>
      <c r="O208" s="28">
        <f>SUMIF(Transactions!$K$19:$K$46,'Percentage Calc'!$E208,Transactions!N$19:N$46)</f>
        <v>0</v>
      </c>
      <c r="P208" s="28">
        <f>SUMIF(Transactions!$K$19:$K$46,'Percentage Calc'!$E208,Transactions!O$19:O$46)</f>
        <v>0</v>
      </c>
      <c r="Q208" s="28">
        <f>SUMIF(Transactions!$K$19:$K$46,'Percentage Calc'!$E208,Transactions!P$19:P$46)</f>
        <v>0</v>
      </c>
      <c r="R208" s="28">
        <f t="shared" ref="R208:R226" si="18">SUM(M208:Q208)+R207</f>
        <v>0</v>
      </c>
      <c r="S208" s="28">
        <f t="shared" ref="S208:S226" si="19">ROUND($C208*R208/$E$4,3)</f>
        <v>0</v>
      </c>
    </row>
    <row r="209" spans="1:19" x14ac:dyDescent="0.35">
      <c r="A209" s="9"/>
      <c r="B209" s="32"/>
      <c r="C209" s="28">
        <f>IF(Check!$B$87=1,1,IF(R209&lt;1,0,1))</f>
        <v>1</v>
      </c>
      <c r="D209" s="28">
        <f t="shared" ref="D209:D272" si="20">IF(C209&lt;&gt;C208,D208+1,D208)</f>
        <v>1</v>
      </c>
      <c r="E209" s="32">
        <v>46033</v>
      </c>
      <c r="F209" s="28">
        <f>SUMIF(Transactions!$C$18:$C$46,'Percentage Calc'!$E209,Transactions!D$18:D$46)</f>
        <v>0</v>
      </c>
      <c r="G209" s="28">
        <f>SUMIF(Transactions!$C$18:$C$46,'Percentage Calc'!$E209,Transactions!E$18:E$46)</f>
        <v>0</v>
      </c>
      <c r="H209" s="28">
        <f>SUMIF(Transactions!$C$18:$C$46,'Percentage Calc'!$E209,Transactions!F$18:F$46)</f>
        <v>0</v>
      </c>
      <c r="I209" s="28">
        <f>SUMIF(Transactions!$C$18:$C$46,'Percentage Calc'!$E209,Transactions!G$18:G$46)</f>
        <v>0</v>
      </c>
      <c r="J209" s="28">
        <f t="shared" si="16"/>
        <v>0</v>
      </c>
      <c r="K209" s="28">
        <f t="shared" si="17"/>
        <v>0</v>
      </c>
      <c r="L209" s="32"/>
      <c r="M209" s="28">
        <f>SUMIF(Transactions!$K$19:$K$46,'Percentage Calc'!$E209,Transactions!L$19:L$46)</f>
        <v>0</v>
      </c>
      <c r="N209" s="28">
        <f>SUMIF(Transactions!$K$19:$K$46,'Percentage Calc'!$E209,Transactions!M$19:M$46)</f>
        <v>0</v>
      </c>
      <c r="O209" s="28">
        <f>SUMIF(Transactions!$K$19:$K$46,'Percentage Calc'!$E209,Transactions!N$19:N$46)</f>
        <v>0</v>
      </c>
      <c r="P209" s="28">
        <f>SUMIF(Transactions!$K$19:$K$46,'Percentage Calc'!$E209,Transactions!O$19:O$46)</f>
        <v>0</v>
      </c>
      <c r="Q209" s="28">
        <f>SUMIF(Transactions!$K$19:$K$46,'Percentage Calc'!$E209,Transactions!P$19:P$46)</f>
        <v>0</v>
      </c>
      <c r="R209" s="28">
        <f t="shared" si="18"/>
        <v>0</v>
      </c>
      <c r="S209" s="28">
        <f t="shared" si="19"/>
        <v>0</v>
      </c>
    </row>
    <row r="210" spans="1:19" x14ac:dyDescent="0.35">
      <c r="A210" s="9"/>
      <c r="B210" s="32"/>
      <c r="C210" s="28">
        <f>IF(Check!$B$87=1,1,IF(R210&lt;1,0,1))</f>
        <v>1</v>
      </c>
      <c r="D210" s="28">
        <f t="shared" si="20"/>
        <v>1</v>
      </c>
      <c r="E210" s="32">
        <v>46034</v>
      </c>
      <c r="F210" s="28">
        <f>SUMIF(Transactions!$C$18:$C$46,'Percentage Calc'!$E210,Transactions!D$18:D$46)</f>
        <v>0</v>
      </c>
      <c r="G210" s="28">
        <f>SUMIF(Transactions!$C$18:$C$46,'Percentage Calc'!$E210,Transactions!E$18:E$46)</f>
        <v>0</v>
      </c>
      <c r="H210" s="28">
        <f>SUMIF(Transactions!$C$18:$C$46,'Percentage Calc'!$E210,Transactions!F$18:F$46)</f>
        <v>0</v>
      </c>
      <c r="I210" s="28">
        <f>SUMIF(Transactions!$C$18:$C$46,'Percentage Calc'!$E210,Transactions!G$18:G$46)</f>
        <v>0</v>
      </c>
      <c r="J210" s="28">
        <f t="shared" si="16"/>
        <v>0</v>
      </c>
      <c r="K210" s="28">
        <f t="shared" si="17"/>
        <v>0</v>
      </c>
      <c r="L210" s="32"/>
      <c r="M210" s="28">
        <f>SUMIF(Transactions!$K$19:$K$46,'Percentage Calc'!$E210,Transactions!L$19:L$46)</f>
        <v>0</v>
      </c>
      <c r="N210" s="28">
        <f>SUMIF(Transactions!$K$19:$K$46,'Percentage Calc'!$E210,Transactions!M$19:M$46)</f>
        <v>0</v>
      </c>
      <c r="O210" s="28">
        <f>SUMIF(Transactions!$K$19:$K$46,'Percentage Calc'!$E210,Transactions!N$19:N$46)</f>
        <v>0</v>
      </c>
      <c r="P210" s="28">
        <f>SUMIF(Transactions!$K$19:$K$46,'Percentage Calc'!$E210,Transactions!O$19:O$46)</f>
        <v>0</v>
      </c>
      <c r="Q210" s="28">
        <f>SUMIF(Transactions!$K$19:$K$46,'Percentage Calc'!$E210,Transactions!P$19:P$46)</f>
        <v>0</v>
      </c>
      <c r="R210" s="28">
        <f t="shared" si="18"/>
        <v>0</v>
      </c>
      <c r="S210" s="28">
        <f t="shared" si="19"/>
        <v>0</v>
      </c>
    </row>
    <row r="211" spans="1:19" x14ac:dyDescent="0.35">
      <c r="A211" s="9"/>
      <c r="B211" s="32"/>
      <c r="C211" s="28">
        <f>IF(Check!$B$87=1,1,IF(R211&lt;1,0,1))</f>
        <v>1</v>
      </c>
      <c r="D211" s="28">
        <f t="shared" si="20"/>
        <v>1</v>
      </c>
      <c r="E211" s="32">
        <v>46035</v>
      </c>
      <c r="F211" s="28">
        <f>SUMIF(Transactions!$C$18:$C$46,'Percentage Calc'!$E211,Transactions!D$18:D$46)</f>
        <v>0</v>
      </c>
      <c r="G211" s="28">
        <f>SUMIF(Transactions!$C$18:$C$46,'Percentage Calc'!$E211,Transactions!E$18:E$46)</f>
        <v>0</v>
      </c>
      <c r="H211" s="28">
        <f>SUMIF(Transactions!$C$18:$C$46,'Percentage Calc'!$E211,Transactions!F$18:F$46)</f>
        <v>0</v>
      </c>
      <c r="I211" s="28">
        <f>SUMIF(Transactions!$C$18:$C$46,'Percentage Calc'!$E211,Transactions!G$18:G$46)</f>
        <v>0</v>
      </c>
      <c r="J211" s="28">
        <f t="shared" si="16"/>
        <v>0</v>
      </c>
      <c r="K211" s="28">
        <f t="shared" si="17"/>
        <v>0</v>
      </c>
      <c r="L211" s="32"/>
      <c r="M211" s="28">
        <f>SUMIF(Transactions!$K$19:$K$46,'Percentage Calc'!$E211,Transactions!L$19:L$46)</f>
        <v>0</v>
      </c>
      <c r="N211" s="28">
        <f>SUMIF(Transactions!$K$19:$K$46,'Percentage Calc'!$E211,Transactions!M$19:M$46)</f>
        <v>0</v>
      </c>
      <c r="O211" s="28">
        <f>SUMIF(Transactions!$K$19:$K$46,'Percentage Calc'!$E211,Transactions!N$19:N$46)</f>
        <v>0</v>
      </c>
      <c r="P211" s="28">
        <f>SUMIF(Transactions!$K$19:$K$46,'Percentage Calc'!$E211,Transactions!O$19:O$46)</f>
        <v>0</v>
      </c>
      <c r="Q211" s="28">
        <f>SUMIF(Transactions!$K$19:$K$46,'Percentage Calc'!$E211,Transactions!P$19:P$46)</f>
        <v>0</v>
      </c>
      <c r="R211" s="28">
        <f t="shared" si="18"/>
        <v>0</v>
      </c>
      <c r="S211" s="28">
        <f t="shared" si="19"/>
        <v>0</v>
      </c>
    </row>
    <row r="212" spans="1:19" x14ac:dyDescent="0.35">
      <c r="A212" s="9"/>
      <c r="B212" s="32"/>
      <c r="C212" s="28">
        <f>IF(Check!$B$87=1,1,IF(R212&lt;1,0,1))</f>
        <v>1</v>
      </c>
      <c r="D212" s="28">
        <f t="shared" si="20"/>
        <v>1</v>
      </c>
      <c r="E212" s="32">
        <v>46036</v>
      </c>
      <c r="F212" s="28">
        <f>SUMIF(Transactions!$C$18:$C$46,'Percentage Calc'!$E212,Transactions!D$18:D$46)</f>
        <v>0</v>
      </c>
      <c r="G212" s="28">
        <f>SUMIF(Transactions!$C$18:$C$46,'Percentage Calc'!$E212,Transactions!E$18:E$46)</f>
        <v>0</v>
      </c>
      <c r="H212" s="28">
        <f>SUMIF(Transactions!$C$18:$C$46,'Percentage Calc'!$E212,Transactions!F$18:F$46)</f>
        <v>0</v>
      </c>
      <c r="I212" s="28">
        <f>SUMIF(Transactions!$C$18:$C$46,'Percentage Calc'!$E212,Transactions!G$18:G$46)</f>
        <v>0</v>
      </c>
      <c r="J212" s="28">
        <f t="shared" si="16"/>
        <v>0</v>
      </c>
      <c r="K212" s="28">
        <f t="shared" si="17"/>
        <v>0</v>
      </c>
      <c r="L212" s="32"/>
      <c r="M212" s="28">
        <f>SUMIF(Transactions!$K$19:$K$46,'Percentage Calc'!$E212,Transactions!L$19:L$46)</f>
        <v>0</v>
      </c>
      <c r="N212" s="28">
        <f>SUMIF(Transactions!$K$19:$K$46,'Percentage Calc'!$E212,Transactions!M$19:M$46)</f>
        <v>0</v>
      </c>
      <c r="O212" s="28">
        <f>SUMIF(Transactions!$K$19:$K$46,'Percentage Calc'!$E212,Transactions!N$19:N$46)</f>
        <v>0</v>
      </c>
      <c r="P212" s="28">
        <f>SUMIF(Transactions!$K$19:$K$46,'Percentage Calc'!$E212,Transactions!O$19:O$46)</f>
        <v>0</v>
      </c>
      <c r="Q212" s="28">
        <f>SUMIF(Transactions!$K$19:$K$46,'Percentage Calc'!$E212,Transactions!P$19:P$46)</f>
        <v>0</v>
      </c>
      <c r="R212" s="28">
        <f t="shared" si="18"/>
        <v>0</v>
      </c>
      <c r="S212" s="28">
        <f t="shared" si="19"/>
        <v>0</v>
      </c>
    </row>
    <row r="213" spans="1:19" x14ac:dyDescent="0.35">
      <c r="A213" s="9"/>
      <c r="B213" s="32"/>
      <c r="C213" s="28">
        <f>IF(Check!$B$87=1,1,IF(R213&lt;1,0,1))</f>
        <v>1</v>
      </c>
      <c r="D213" s="28">
        <f t="shared" si="20"/>
        <v>1</v>
      </c>
      <c r="E213" s="32">
        <v>46037</v>
      </c>
      <c r="F213" s="28">
        <f>SUMIF(Transactions!$C$18:$C$46,'Percentage Calc'!$E213,Transactions!D$18:D$46)</f>
        <v>0</v>
      </c>
      <c r="G213" s="28">
        <f>SUMIF(Transactions!$C$18:$C$46,'Percentage Calc'!$E213,Transactions!E$18:E$46)</f>
        <v>0</v>
      </c>
      <c r="H213" s="28">
        <f>SUMIF(Transactions!$C$18:$C$46,'Percentage Calc'!$E213,Transactions!F$18:F$46)</f>
        <v>0</v>
      </c>
      <c r="I213" s="28">
        <f>SUMIF(Transactions!$C$18:$C$46,'Percentage Calc'!$E213,Transactions!G$18:G$46)</f>
        <v>0</v>
      </c>
      <c r="J213" s="28">
        <f t="shared" si="16"/>
        <v>0</v>
      </c>
      <c r="K213" s="28">
        <f t="shared" si="17"/>
        <v>0</v>
      </c>
      <c r="L213" s="32"/>
      <c r="M213" s="28">
        <f>SUMIF(Transactions!$K$19:$K$46,'Percentage Calc'!$E213,Transactions!L$19:L$46)</f>
        <v>0</v>
      </c>
      <c r="N213" s="28">
        <f>SUMIF(Transactions!$K$19:$K$46,'Percentage Calc'!$E213,Transactions!M$19:M$46)</f>
        <v>0</v>
      </c>
      <c r="O213" s="28">
        <f>SUMIF(Transactions!$K$19:$K$46,'Percentage Calc'!$E213,Transactions!N$19:N$46)</f>
        <v>0</v>
      </c>
      <c r="P213" s="28">
        <f>SUMIF(Transactions!$K$19:$K$46,'Percentage Calc'!$E213,Transactions!O$19:O$46)</f>
        <v>0</v>
      </c>
      <c r="Q213" s="28">
        <f>SUMIF(Transactions!$K$19:$K$46,'Percentage Calc'!$E213,Transactions!P$19:P$46)</f>
        <v>0</v>
      </c>
      <c r="R213" s="28">
        <f t="shared" si="18"/>
        <v>0</v>
      </c>
      <c r="S213" s="28">
        <f t="shared" si="19"/>
        <v>0</v>
      </c>
    </row>
    <row r="214" spans="1:19" x14ac:dyDescent="0.35">
      <c r="A214" s="9"/>
      <c r="B214" s="32"/>
      <c r="C214" s="28">
        <f>IF(Check!$B$87=1,1,IF(R214&lt;1,0,1))</f>
        <v>1</v>
      </c>
      <c r="D214" s="28">
        <f t="shared" si="20"/>
        <v>1</v>
      </c>
      <c r="E214" s="32">
        <v>46038</v>
      </c>
      <c r="F214" s="28">
        <f>SUMIF(Transactions!$C$18:$C$46,'Percentage Calc'!$E214,Transactions!D$18:D$46)</f>
        <v>0</v>
      </c>
      <c r="G214" s="28">
        <f>SUMIF(Transactions!$C$18:$C$46,'Percentage Calc'!$E214,Transactions!E$18:E$46)</f>
        <v>0</v>
      </c>
      <c r="H214" s="28">
        <f>SUMIF(Transactions!$C$18:$C$46,'Percentage Calc'!$E214,Transactions!F$18:F$46)</f>
        <v>0</v>
      </c>
      <c r="I214" s="28">
        <f>SUMIF(Transactions!$C$18:$C$46,'Percentage Calc'!$E214,Transactions!G$18:G$46)</f>
        <v>0</v>
      </c>
      <c r="J214" s="28">
        <f t="shared" si="16"/>
        <v>0</v>
      </c>
      <c r="K214" s="28">
        <f t="shared" si="17"/>
        <v>0</v>
      </c>
      <c r="L214" s="32"/>
      <c r="M214" s="28">
        <f>SUMIF(Transactions!$K$19:$K$46,'Percentage Calc'!$E214,Transactions!L$19:L$46)</f>
        <v>0</v>
      </c>
      <c r="N214" s="28">
        <f>SUMIF(Transactions!$K$19:$K$46,'Percentage Calc'!$E214,Transactions!M$19:M$46)</f>
        <v>0</v>
      </c>
      <c r="O214" s="28">
        <f>SUMIF(Transactions!$K$19:$K$46,'Percentage Calc'!$E214,Transactions!N$19:N$46)</f>
        <v>0</v>
      </c>
      <c r="P214" s="28">
        <f>SUMIF(Transactions!$K$19:$K$46,'Percentage Calc'!$E214,Transactions!O$19:O$46)</f>
        <v>0</v>
      </c>
      <c r="Q214" s="28">
        <f>SUMIF(Transactions!$K$19:$K$46,'Percentage Calc'!$E214,Transactions!P$19:P$46)</f>
        <v>0</v>
      </c>
      <c r="R214" s="28">
        <f t="shared" si="18"/>
        <v>0</v>
      </c>
      <c r="S214" s="28">
        <f t="shared" si="19"/>
        <v>0</v>
      </c>
    </row>
    <row r="215" spans="1:19" x14ac:dyDescent="0.35">
      <c r="A215" s="9"/>
      <c r="B215" s="32"/>
      <c r="C215" s="28">
        <f>IF(Check!$B$87=1,1,IF(R215&lt;1,0,1))</f>
        <v>1</v>
      </c>
      <c r="D215" s="28">
        <f t="shared" si="20"/>
        <v>1</v>
      </c>
      <c r="E215" s="32">
        <v>46039</v>
      </c>
      <c r="F215" s="28">
        <f>SUMIF(Transactions!$C$18:$C$46,'Percentage Calc'!$E215,Transactions!D$18:D$46)</f>
        <v>0</v>
      </c>
      <c r="G215" s="28">
        <f>SUMIF(Transactions!$C$18:$C$46,'Percentage Calc'!$E215,Transactions!E$18:E$46)</f>
        <v>0</v>
      </c>
      <c r="H215" s="28">
        <f>SUMIF(Transactions!$C$18:$C$46,'Percentage Calc'!$E215,Transactions!F$18:F$46)</f>
        <v>0</v>
      </c>
      <c r="I215" s="28">
        <f>SUMIF(Transactions!$C$18:$C$46,'Percentage Calc'!$E215,Transactions!G$18:G$46)</f>
        <v>0</v>
      </c>
      <c r="J215" s="28">
        <f t="shared" si="16"/>
        <v>0</v>
      </c>
      <c r="K215" s="28">
        <f t="shared" si="17"/>
        <v>0</v>
      </c>
      <c r="L215" s="32"/>
      <c r="M215" s="28">
        <f>SUMIF(Transactions!$K$19:$K$46,'Percentage Calc'!$E215,Transactions!L$19:L$46)</f>
        <v>0</v>
      </c>
      <c r="N215" s="28">
        <f>SUMIF(Transactions!$K$19:$K$46,'Percentage Calc'!$E215,Transactions!M$19:M$46)</f>
        <v>0</v>
      </c>
      <c r="O215" s="28">
        <f>SUMIF(Transactions!$K$19:$K$46,'Percentage Calc'!$E215,Transactions!N$19:N$46)</f>
        <v>0</v>
      </c>
      <c r="P215" s="28">
        <f>SUMIF(Transactions!$K$19:$K$46,'Percentage Calc'!$E215,Transactions!O$19:O$46)</f>
        <v>0</v>
      </c>
      <c r="Q215" s="28">
        <f>SUMIF(Transactions!$K$19:$K$46,'Percentage Calc'!$E215,Transactions!P$19:P$46)</f>
        <v>0</v>
      </c>
      <c r="R215" s="28">
        <f t="shared" si="18"/>
        <v>0</v>
      </c>
      <c r="S215" s="28">
        <f t="shared" si="19"/>
        <v>0</v>
      </c>
    </row>
    <row r="216" spans="1:19" x14ac:dyDescent="0.35">
      <c r="A216" s="9"/>
      <c r="B216" s="32"/>
      <c r="C216" s="28">
        <f>IF(Check!$B$87=1,1,IF(R216&lt;1,0,1))</f>
        <v>1</v>
      </c>
      <c r="D216" s="28">
        <f t="shared" si="20"/>
        <v>1</v>
      </c>
      <c r="E216" s="32">
        <v>46040</v>
      </c>
      <c r="F216" s="28">
        <f>SUMIF(Transactions!$C$18:$C$46,'Percentage Calc'!$E216,Transactions!D$18:D$46)</f>
        <v>0</v>
      </c>
      <c r="G216" s="28">
        <f>SUMIF(Transactions!$C$18:$C$46,'Percentage Calc'!$E216,Transactions!E$18:E$46)</f>
        <v>0</v>
      </c>
      <c r="H216" s="28">
        <f>SUMIF(Transactions!$C$18:$C$46,'Percentage Calc'!$E216,Transactions!F$18:F$46)</f>
        <v>0</v>
      </c>
      <c r="I216" s="28">
        <f>SUMIF(Transactions!$C$18:$C$46,'Percentage Calc'!$E216,Transactions!G$18:G$46)</f>
        <v>0</v>
      </c>
      <c r="J216" s="28">
        <f t="shared" si="16"/>
        <v>0</v>
      </c>
      <c r="K216" s="28">
        <f t="shared" si="17"/>
        <v>0</v>
      </c>
      <c r="L216" s="32"/>
      <c r="M216" s="28">
        <f>SUMIF(Transactions!$K$19:$K$46,'Percentage Calc'!$E216,Transactions!L$19:L$46)</f>
        <v>0</v>
      </c>
      <c r="N216" s="28">
        <f>SUMIF(Transactions!$K$19:$K$46,'Percentage Calc'!$E216,Transactions!M$19:M$46)</f>
        <v>0</v>
      </c>
      <c r="O216" s="28">
        <f>SUMIF(Transactions!$K$19:$K$46,'Percentage Calc'!$E216,Transactions!N$19:N$46)</f>
        <v>0</v>
      </c>
      <c r="P216" s="28">
        <f>SUMIF(Transactions!$K$19:$K$46,'Percentage Calc'!$E216,Transactions!O$19:O$46)</f>
        <v>0</v>
      </c>
      <c r="Q216" s="28">
        <f>SUMIF(Transactions!$K$19:$K$46,'Percentage Calc'!$E216,Transactions!P$19:P$46)</f>
        <v>0</v>
      </c>
      <c r="R216" s="28">
        <f t="shared" si="18"/>
        <v>0</v>
      </c>
      <c r="S216" s="28">
        <f t="shared" si="19"/>
        <v>0</v>
      </c>
    </row>
    <row r="217" spans="1:19" x14ac:dyDescent="0.35">
      <c r="A217" s="9"/>
      <c r="B217" s="32"/>
      <c r="C217" s="28">
        <f>IF(Check!$B$87=1,1,IF(R217&lt;1,0,1))</f>
        <v>1</v>
      </c>
      <c r="D217" s="28">
        <f t="shared" si="20"/>
        <v>1</v>
      </c>
      <c r="E217" s="32">
        <v>46041</v>
      </c>
      <c r="F217" s="28">
        <f>SUMIF(Transactions!$C$18:$C$46,'Percentage Calc'!$E217,Transactions!D$18:D$46)</f>
        <v>0</v>
      </c>
      <c r="G217" s="28">
        <f>SUMIF(Transactions!$C$18:$C$46,'Percentage Calc'!$E217,Transactions!E$18:E$46)</f>
        <v>0</v>
      </c>
      <c r="H217" s="28">
        <f>SUMIF(Transactions!$C$18:$C$46,'Percentage Calc'!$E217,Transactions!F$18:F$46)</f>
        <v>0</v>
      </c>
      <c r="I217" s="28">
        <f>SUMIF(Transactions!$C$18:$C$46,'Percentage Calc'!$E217,Transactions!G$18:G$46)</f>
        <v>0</v>
      </c>
      <c r="J217" s="28">
        <f t="shared" si="16"/>
        <v>0</v>
      </c>
      <c r="K217" s="28">
        <f t="shared" si="17"/>
        <v>0</v>
      </c>
      <c r="L217" s="32"/>
      <c r="M217" s="28">
        <f>SUMIF(Transactions!$K$19:$K$46,'Percentage Calc'!$E217,Transactions!L$19:L$46)</f>
        <v>0</v>
      </c>
      <c r="N217" s="28">
        <f>SUMIF(Transactions!$K$19:$K$46,'Percentage Calc'!$E217,Transactions!M$19:M$46)</f>
        <v>0</v>
      </c>
      <c r="O217" s="28">
        <f>SUMIF(Transactions!$K$19:$K$46,'Percentage Calc'!$E217,Transactions!N$19:N$46)</f>
        <v>0</v>
      </c>
      <c r="P217" s="28">
        <f>SUMIF(Transactions!$K$19:$K$46,'Percentage Calc'!$E217,Transactions!O$19:O$46)</f>
        <v>0</v>
      </c>
      <c r="Q217" s="28">
        <f>SUMIF(Transactions!$K$19:$K$46,'Percentage Calc'!$E217,Transactions!P$19:P$46)</f>
        <v>0</v>
      </c>
      <c r="R217" s="28">
        <f t="shared" si="18"/>
        <v>0</v>
      </c>
      <c r="S217" s="28">
        <f t="shared" si="19"/>
        <v>0</v>
      </c>
    </row>
    <row r="218" spans="1:19" x14ac:dyDescent="0.35">
      <c r="A218" s="9"/>
      <c r="B218" s="32"/>
      <c r="C218" s="28">
        <f>IF(Check!$B$87=1,1,IF(R218&lt;1,0,1))</f>
        <v>1</v>
      </c>
      <c r="D218" s="28">
        <f t="shared" si="20"/>
        <v>1</v>
      </c>
      <c r="E218" s="32">
        <v>46042</v>
      </c>
      <c r="F218" s="28">
        <f>SUMIF(Transactions!$C$18:$C$46,'Percentage Calc'!$E218,Transactions!D$18:D$46)</f>
        <v>0</v>
      </c>
      <c r="G218" s="28">
        <f>SUMIF(Transactions!$C$18:$C$46,'Percentage Calc'!$E218,Transactions!E$18:E$46)</f>
        <v>0</v>
      </c>
      <c r="H218" s="28">
        <f>SUMIF(Transactions!$C$18:$C$46,'Percentage Calc'!$E218,Transactions!F$18:F$46)</f>
        <v>0</v>
      </c>
      <c r="I218" s="28">
        <f>SUMIF(Transactions!$C$18:$C$46,'Percentage Calc'!$E218,Transactions!G$18:G$46)</f>
        <v>0</v>
      </c>
      <c r="J218" s="28">
        <f t="shared" si="16"/>
        <v>0</v>
      </c>
      <c r="K218" s="28">
        <f t="shared" si="17"/>
        <v>0</v>
      </c>
      <c r="L218" s="32"/>
      <c r="M218" s="28">
        <f>SUMIF(Transactions!$K$19:$K$46,'Percentage Calc'!$E218,Transactions!L$19:L$46)</f>
        <v>0</v>
      </c>
      <c r="N218" s="28">
        <f>SUMIF(Transactions!$K$19:$K$46,'Percentage Calc'!$E218,Transactions!M$19:M$46)</f>
        <v>0</v>
      </c>
      <c r="O218" s="28">
        <f>SUMIF(Transactions!$K$19:$K$46,'Percentage Calc'!$E218,Transactions!N$19:N$46)</f>
        <v>0</v>
      </c>
      <c r="P218" s="28">
        <f>SUMIF(Transactions!$K$19:$K$46,'Percentage Calc'!$E218,Transactions!O$19:O$46)</f>
        <v>0</v>
      </c>
      <c r="Q218" s="28">
        <f>SUMIF(Transactions!$K$19:$K$46,'Percentage Calc'!$E218,Transactions!P$19:P$46)</f>
        <v>0</v>
      </c>
      <c r="R218" s="28">
        <f t="shared" si="18"/>
        <v>0</v>
      </c>
      <c r="S218" s="28">
        <f t="shared" si="19"/>
        <v>0</v>
      </c>
    </row>
    <row r="219" spans="1:19" x14ac:dyDescent="0.35">
      <c r="A219" s="9"/>
      <c r="B219" s="32"/>
      <c r="C219" s="28">
        <f>IF(Check!$B$87=1,1,IF(R219&lt;1,0,1))</f>
        <v>1</v>
      </c>
      <c r="D219" s="28">
        <f t="shared" si="20"/>
        <v>1</v>
      </c>
      <c r="E219" s="32">
        <v>46043</v>
      </c>
      <c r="F219" s="28">
        <f>SUMIF(Transactions!$C$18:$C$46,'Percentage Calc'!$E219,Transactions!D$18:D$46)</f>
        <v>0</v>
      </c>
      <c r="G219" s="28">
        <f>SUMIF(Transactions!$C$18:$C$46,'Percentage Calc'!$E219,Transactions!E$18:E$46)</f>
        <v>0</v>
      </c>
      <c r="H219" s="28">
        <f>SUMIF(Transactions!$C$18:$C$46,'Percentage Calc'!$E219,Transactions!F$18:F$46)</f>
        <v>0</v>
      </c>
      <c r="I219" s="28">
        <f>SUMIF(Transactions!$C$18:$C$46,'Percentage Calc'!$E219,Transactions!G$18:G$46)</f>
        <v>0</v>
      </c>
      <c r="J219" s="28">
        <f t="shared" si="16"/>
        <v>0</v>
      </c>
      <c r="K219" s="28">
        <f t="shared" si="17"/>
        <v>0</v>
      </c>
      <c r="L219" s="32"/>
      <c r="M219" s="28">
        <f>SUMIF(Transactions!$K$19:$K$46,'Percentage Calc'!$E219,Transactions!L$19:L$46)</f>
        <v>0</v>
      </c>
      <c r="N219" s="28">
        <f>SUMIF(Transactions!$K$19:$K$46,'Percentage Calc'!$E219,Transactions!M$19:M$46)</f>
        <v>0</v>
      </c>
      <c r="O219" s="28">
        <f>SUMIF(Transactions!$K$19:$K$46,'Percentage Calc'!$E219,Transactions!N$19:N$46)</f>
        <v>0</v>
      </c>
      <c r="P219" s="28">
        <f>SUMIF(Transactions!$K$19:$K$46,'Percentage Calc'!$E219,Transactions!O$19:O$46)</f>
        <v>0</v>
      </c>
      <c r="Q219" s="28">
        <f>SUMIF(Transactions!$K$19:$K$46,'Percentage Calc'!$E219,Transactions!P$19:P$46)</f>
        <v>0</v>
      </c>
      <c r="R219" s="28">
        <f t="shared" si="18"/>
        <v>0</v>
      </c>
      <c r="S219" s="28">
        <f t="shared" si="19"/>
        <v>0</v>
      </c>
    </row>
    <row r="220" spans="1:19" x14ac:dyDescent="0.35">
      <c r="A220" s="9"/>
      <c r="B220" s="32"/>
      <c r="C220" s="28">
        <f>IF(Check!$B$87=1,1,IF(R220&lt;1,0,1))</f>
        <v>1</v>
      </c>
      <c r="D220" s="28">
        <f t="shared" si="20"/>
        <v>1</v>
      </c>
      <c r="E220" s="32">
        <v>46044</v>
      </c>
      <c r="F220" s="28">
        <f>SUMIF(Transactions!$C$18:$C$46,'Percentage Calc'!$E220,Transactions!D$18:D$46)</f>
        <v>0</v>
      </c>
      <c r="G220" s="28">
        <f>SUMIF(Transactions!$C$18:$C$46,'Percentage Calc'!$E220,Transactions!E$18:E$46)</f>
        <v>0</v>
      </c>
      <c r="H220" s="28">
        <f>SUMIF(Transactions!$C$18:$C$46,'Percentage Calc'!$E220,Transactions!F$18:F$46)</f>
        <v>0</v>
      </c>
      <c r="I220" s="28">
        <f>SUMIF(Transactions!$C$18:$C$46,'Percentage Calc'!$E220,Transactions!G$18:G$46)</f>
        <v>0</v>
      </c>
      <c r="J220" s="28">
        <f t="shared" si="16"/>
        <v>0</v>
      </c>
      <c r="K220" s="28">
        <f t="shared" si="17"/>
        <v>0</v>
      </c>
      <c r="L220" s="32"/>
      <c r="M220" s="28">
        <f>SUMIF(Transactions!$K$19:$K$46,'Percentage Calc'!$E220,Transactions!L$19:L$46)</f>
        <v>0</v>
      </c>
      <c r="N220" s="28">
        <f>SUMIF(Transactions!$K$19:$K$46,'Percentage Calc'!$E220,Transactions!M$19:M$46)</f>
        <v>0</v>
      </c>
      <c r="O220" s="28">
        <f>SUMIF(Transactions!$K$19:$K$46,'Percentage Calc'!$E220,Transactions!N$19:N$46)</f>
        <v>0</v>
      </c>
      <c r="P220" s="28">
        <f>SUMIF(Transactions!$K$19:$K$46,'Percentage Calc'!$E220,Transactions!O$19:O$46)</f>
        <v>0</v>
      </c>
      <c r="Q220" s="28">
        <f>SUMIF(Transactions!$K$19:$K$46,'Percentage Calc'!$E220,Transactions!P$19:P$46)</f>
        <v>0</v>
      </c>
      <c r="R220" s="28">
        <f t="shared" si="18"/>
        <v>0</v>
      </c>
      <c r="S220" s="28">
        <f t="shared" si="19"/>
        <v>0</v>
      </c>
    </row>
    <row r="221" spans="1:19" x14ac:dyDescent="0.35">
      <c r="A221" s="9"/>
      <c r="B221" s="32"/>
      <c r="C221" s="28">
        <f>IF(Check!$B$87=1,1,IF(R221&lt;1,0,1))</f>
        <v>1</v>
      </c>
      <c r="D221" s="28">
        <f t="shared" si="20"/>
        <v>1</v>
      </c>
      <c r="E221" s="32">
        <v>46045</v>
      </c>
      <c r="F221" s="28">
        <f>SUMIF(Transactions!$C$18:$C$46,'Percentage Calc'!$E221,Transactions!D$18:D$46)</f>
        <v>0</v>
      </c>
      <c r="G221" s="28">
        <f>SUMIF(Transactions!$C$18:$C$46,'Percentage Calc'!$E221,Transactions!E$18:E$46)</f>
        <v>0</v>
      </c>
      <c r="H221" s="28">
        <f>SUMIF(Transactions!$C$18:$C$46,'Percentage Calc'!$E221,Transactions!F$18:F$46)</f>
        <v>0</v>
      </c>
      <c r="I221" s="28">
        <f>SUMIF(Transactions!$C$18:$C$46,'Percentage Calc'!$E221,Transactions!G$18:G$46)</f>
        <v>0</v>
      </c>
      <c r="J221" s="28">
        <f t="shared" si="16"/>
        <v>0</v>
      </c>
      <c r="K221" s="28">
        <f t="shared" si="17"/>
        <v>0</v>
      </c>
      <c r="L221" s="32"/>
      <c r="M221" s="28">
        <f>SUMIF(Transactions!$K$19:$K$46,'Percentage Calc'!$E221,Transactions!L$19:L$46)</f>
        <v>0</v>
      </c>
      <c r="N221" s="28">
        <f>SUMIF(Transactions!$K$19:$K$46,'Percentage Calc'!$E221,Transactions!M$19:M$46)</f>
        <v>0</v>
      </c>
      <c r="O221" s="28">
        <f>SUMIF(Transactions!$K$19:$K$46,'Percentage Calc'!$E221,Transactions!N$19:N$46)</f>
        <v>0</v>
      </c>
      <c r="P221" s="28">
        <f>SUMIF(Transactions!$K$19:$K$46,'Percentage Calc'!$E221,Transactions!O$19:O$46)</f>
        <v>0</v>
      </c>
      <c r="Q221" s="28">
        <f>SUMIF(Transactions!$K$19:$K$46,'Percentage Calc'!$E221,Transactions!P$19:P$46)</f>
        <v>0</v>
      </c>
      <c r="R221" s="28">
        <f t="shared" si="18"/>
        <v>0</v>
      </c>
      <c r="S221" s="28">
        <f t="shared" si="19"/>
        <v>0</v>
      </c>
    </row>
    <row r="222" spans="1:19" x14ac:dyDescent="0.35">
      <c r="A222" s="9"/>
      <c r="B222" s="32"/>
      <c r="C222" s="28">
        <f>IF(Check!$B$87=1,1,IF(R222&lt;1,0,1))</f>
        <v>1</v>
      </c>
      <c r="D222" s="28">
        <f t="shared" si="20"/>
        <v>1</v>
      </c>
      <c r="E222" s="32">
        <v>46046</v>
      </c>
      <c r="F222" s="28">
        <f>SUMIF(Transactions!$C$18:$C$46,'Percentage Calc'!$E222,Transactions!D$18:D$46)</f>
        <v>0</v>
      </c>
      <c r="G222" s="28">
        <f>SUMIF(Transactions!$C$18:$C$46,'Percentage Calc'!$E222,Transactions!E$18:E$46)</f>
        <v>0</v>
      </c>
      <c r="H222" s="28">
        <f>SUMIF(Transactions!$C$18:$C$46,'Percentage Calc'!$E222,Transactions!F$18:F$46)</f>
        <v>0</v>
      </c>
      <c r="I222" s="28">
        <f>SUMIF(Transactions!$C$18:$C$46,'Percentage Calc'!$E222,Transactions!G$18:G$46)</f>
        <v>0</v>
      </c>
      <c r="J222" s="28">
        <f t="shared" si="16"/>
        <v>0</v>
      </c>
      <c r="K222" s="28">
        <f t="shared" si="17"/>
        <v>0</v>
      </c>
      <c r="L222" s="32"/>
      <c r="M222" s="28">
        <f>SUMIF(Transactions!$K$19:$K$46,'Percentage Calc'!$E222,Transactions!L$19:L$46)</f>
        <v>0</v>
      </c>
      <c r="N222" s="28">
        <f>SUMIF(Transactions!$K$19:$K$46,'Percentage Calc'!$E222,Transactions!M$19:M$46)</f>
        <v>0</v>
      </c>
      <c r="O222" s="28">
        <f>SUMIF(Transactions!$K$19:$K$46,'Percentage Calc'!$E222,Transactions!N$19:N$46)</f>
        <v>0</v>
      </c>
      <c r="P222" s="28">
        <f>SUMIF(Transactions!$K$19:$K$46,'Percentage Calc'!$E222,Transactions!O$19:O$46)</f>
        <v>0</v>
      </c>
      <c r="Q222" s="28">
        <f>SUMIF(Transactions!$K$19:$K$46,'Percentage Calc'!$E222,Transactions!P$19:P$46)</f>
        <v>0</v>
      </c>
      <c r="R222" s="28">
        <f t="shared" si="18"/>
        <v>0</v>
      </c>
      <c r="S222" s="28">
        <f t="shared" si="19"/>
        <v>0</v>
      </c>
    </row>
    <row r="223" spans="1:19" x14ac:dyDescent="0.35">
      <c r="A223" s="9"/>
      <c r="B223" s="32"/>
      <c r="C223" s="28">
        <f>IF(Check!$B$87=1,1,IF(R223&lt;1,0,1))</f>
        <v>1</v>
      </c>
      <c r="D223" s="28">
        <f t="shared" si="20"/>
        <v>1</v>
      </c>
      <c r="E223" s="32">
        <v>46047</v>
      </c>
      <c r="F223" s="28">
        <f>SUMIF(Transactions!$C$18:$C$46,'Percentage Calc'!$E223,Transactions!D$18:D$46)</f>
        <v>0</v>
      </c>
      <c r="G223" s="28">
        <f>SUMIF(Transactions!$C$18:$C$46,'Percentage Calc'!$E223,Transactions!E$18:E$46)</f>
        <v>0</v>
      </c>
      <c r="H223" s="28">
        <f>SUMIF(Transactions!$C$18:$C$46,'Percentage Calc'!$E223,Transactions!F$18:F$46)</f>
        <v>0</v>
      </c>
      <c r="I223" s="28">
        <f>SUMIF(Transactions!$C$18:$C$46,'Percentage Calc'!$E223,Transactions!G$18:G$46)</f>
        <v>0</v>
      </c>
      <c r="J223" s="28">
        <f t="shared" si="16"/>
        <v>0</v>
      </c>
      <c r="K223" s="28">
        <f t="shared" si="17"/>
        <v>0</v>
      </c>
      <c r="L223" s="32"/>
      <c r="M223" s="28">
        <f>SUMIF(Transactions!$K$19:$K$46,'Percentage Calc'!$E223,Transactions!L$19:L$46)</f>
        <v>0</v>
      </c>
      <c r="N223" s="28">
        <f>SUMIF(Transactions!$K$19:$K$46,'Percentage Calc'!$E223,Transactions!M$19:M$46)</f>
        <v>0</v>
      </c>
      <c r="O223" s="28">
        <f>SUMIF(Transactions!$K$19:$K$46,'Percentage Calc'!$E223,Transactions!N$19:N$46)</f>
        <v>0</v>
      </c>
      <c r="P223" s="28">
        <f>SUMIF(Transactions!$K$19:$K$46,'Percentage Calc'!$E223,Transactions!O$19:O$46)</f>
        <v>0</v>
      </c>
      <c r="Q223" s="28">
        <f>SUMIF(Transactions!$K$19:$K$46,'Percentage Calc'!$E223,Transactions!P$19:P$46)</f>
        <v>0</v>
      </c>
      <c r="R223" s="28">
        <f t="shared" si="18"/>
        <v>0</v>
      </c>
      <c r="S223" s="28">
        <f t="shared" si="19"/>
        <v>0</v>
      </c>
    </row>
    <row r="224" spans="1:19" x14ac:dyDescent="0.35">
      <c r="A224" s="9"/>
      <c r="B224" s="32"/>
      <c r="C224" s="28">
        <f>IF(Check!$B$87=1,1,IF(R224&lt;1,0,1))</f>
        <v>1</v>
      </c>
      <c r="D224" s="28">
        <f t="shared" si="20"/>
        <v>1</v>
      </c>
      <c r="E224" s="32">
        <v>46048</v>
      </c>
      <c r="F224" s="28">
        <f>SUMIF(Transactions!$C$18:$C$46,'Percentage Calc'!$E224,Transactions!D$18:D$46)</f>
        <v>0</v>
      </c>
      <c r="G224" s="28">
        <f>SUMIF(Transactions!$C$18:$C$46,'Percentage Calc'!$E224,Transactions!E$18:E$46)</f>
        <v>0</v>
      </c>
      <c r="H224" s="28">
        <f>SUMIF(Transactions!$C$18:$C$46,'Percentage Calc'!$E224,Transactions!F$18:F$46)</f>
        <v>0</v>
      </c>
      <c r="I224" s="28">
        <f>SUMIF(Transactions!$C$18:$C$46,'Percentage Calc'!$E224,Transactions!G$18:G$46)</f>
        <v>0</v>
      </c>
      <c r="J224" s="28">
        <f t="shared" si="16"/>
        <v>0</v>
      </c>
      <c r="K224" s="28">
        <f t="shared" si="17"/>
        <v>0</v>
      </c>
      <c r="L224" s="32"/>
      <c r="M224" s="28">
        <f>SUMIF(Transactions!$K$19:$K$46,'Percentage Calc'!$E224,Transactions!L$19:L$46)</f>
        <v>0</v>
      </c>
      <c r="N224" s="28">
        <f>SUMIF(Transactions!$K$19:$K$46,'Percentage Calc'!$E224,Transactions!M$19:M$46)</f>
        <v>0</v>
      </c>
      <c r="O224" s="28">
        <f>SUMIF(Transactions!$K$19:$K$46,'Percentage Calc'!$E224,Transactions!N$19:N$46)</f>
        <v>0</v>
      </c>
      <c r="P224" s="28">
        <f>SUMIF(Transactions!$K$19:$K$46,'Percentage Calc'!$E224,Transactions!O$19:O$46)</f>
        <v>0</v>
      </c>
      <c r="Q224" s="28">
        <f>SUMIF(Transactions!$K$19:$K$46,'Percentage Calc'!$E224,Transactions!P$19:P$46)</f>
        <v>0</v>
      </c>
      <c r="R224" s="28">
        <f t="shared" si="18"/>
        <v>0</v>
      </c>
      <c r="S224" s="28">
        <f t="shared" si="19"/>
        <v>0</v>
      </c>
    </row>
    <row r="225" spans="1:19" x14ac:dyDescent="0.35">
      <c r="A225" s="9"/>
      <c r="B225" s="32"/>
      <c r="C225" s="28">
        <f>IF(Check!$B$87=1,1,IF(R225&lt;1,0,1))</f>
        <v>1</v>
      </c>
      <c r="D225" s="28">
        <f t="shared" si="20"/>
        <v>1</v>
      </c>
      <c r="E225" s="32">
        <v>46049</v>
      </c>
      <c r="F225" s="28">
        <f>SUMIF(Transactions!$C$18:$C$46,'Percentage Calc'!$E225,Transactions!D$18:D$46)</f>
        <v>0</v>
      </c>
      <c r="G225" s="28">
        <f>SUMIF(Transactions!$C$18:$C$46,'Percentage Calc'!$E225,Transactions!E$18:E$46)</f>
        <v>0</v>
      </c>
      <c r="H225" s="28">
        <f>SUMIF(Transactions!$C$18:$C$46,'Percentage Calc'!$E225,Transactions!F$18:F$46)</f>
        <v>0</v>
      </c>
      <c r="I225" s="28">
        <f>SUMIF(Transactions!$C$18:$C$46,'Percentage Calc'!$E225,Transactions!G$18:G$46)</f>
        <v>0</v>
      </c>
      <c r="J225" s="28">
        <f t="shared" si="16"/>
        <v>0</v>
      </c>
      <c r="K225" s="28">
        <f t="shared" si="17"/>
        <v>0</v>
      </c>
      <c r="L225" s="32"/>
      <c r="M225" s="28">
        <f>SUMIF(Transactions!$K$19:$K$46,'Percentage Calc'!$E225,Transactions!L$19:L$46)</f>
        <v>0</v>
      </c>
      <c r="N225" s="28">
        <f>SUMIF(Transactions!$K$19:$K$46,'Percentage Calc'!$E225,Transactions!M$19:M$46)</f>
        <v>0</v>
      </c>
      <c r="O225" s="28">
        <f>SUMIF(Transactions!$K$19:$K$46,'Percentage Calc'!$E225,Transactions!N$19:N$46)</f>
        <v>0</v>
      </c>
      <c r="P225" s="28">
        <f>SUMIF(Transactions!$K$19:$K$46,'Percentage Calc'!$E225,Transactions!O$19:O$46)</f>
        <v>0</v>
      </c>
      <c r="Q225" s="28">
        <f>SUMIF(Transactions!$K$19:$K$46,'Percentage Calc'!$E225,Transactions!P$19:P$46)</f>
        <v>0</v>
      </c>
      <c r="R225" s="28">
        <f t="shared" si="18"/>
        <v>0</v>
      </c>
      <c r="S225" s="28">
        <f t="shared" si="19"/>
        <v>0</v>
      </c>
    </row>
    <row r="226" spans="1:19" x14ac:dyDescent="0.35">
      <c r="A226" s="9"/>
      <c r="B226" s="32"/>
      <c r="C226" s="28">
        <f>IF(Check!$B$87=1,1,IF(R226&lt;1,0,1))</f>
        <v>1</v>
      </c>
      <c r="D226" s="28">
        <f t="shared" si="20"/>
        <v>1</v>
      </c>
      <c r="E226" s="32">
        <v>46050</v>
      </c>
      <c r="F226" s="28">
        <f>SUMIF(Transactions!$C$18:$C$46,'Percentage Calc'!$E226,Transactions!D$18:D$46)</f>
        <v>0</v>
      </c>
      <c r="G226" s="28">
        <f>SUMIF(Transactions!$C$18:$C$46,'Percentage Calc'!$E226,Transactions!E$18:E$46)</f>
        <v>0</v>
      </c>
      <c r="H226" s="28">
        <f>SUMIF(Transactions!$C$18:$C$46,'Percentage Calc'!$E226,Transactions!F$18:F$46)</f>
        <v>0</v>
      </c>
      <c r="I226" s="28">
        <f>SUMIF(Transactions!$C$18:$C$46,'Percentage Calc'!$E226,Transactions!G$18:G$46)</f>
        <v>0</v>
      </c>
      <c r="J226" s="28">
        <f t="shared" si="16"/>
        <v>0</v>
      </c>
      <c r="K226" s="28">
        <f t="shared" si="17"/>
        <v>0</v>
      </c>
      <c r="L226" s="32"/>
      <c r="M226" s="28">
        <f>SUMIF(Transactions!$K$19:$K$46,'Percentage Calc'!$E226,Transactions!L$19:L$46)</f>
        <v>0</v>
      </c>
      <c r="N226" s="28">
        <f>SUMIF(Transactions!$K$19:$K$46,'Percentage Calc'!$E226,Transactions!M$19:M$46)</f>
        <v>0</v>
      </c>
      <c r="O226" s="28">
        <f>SUMIF(Transactions!$K$19:$K$46,'Percentage Calc'!$E226,Transactions!N$19:N$46)</f>
        <v>0</v>
      </c>
      <c r="P226" s="28">
        <f>SUMIF(Transactions!$K$19:$K$46,'Percentage Calc'!$E226,Transactions!O$19:O$46)</f>
        <v>0</v>
      </c>
      <c r="Q226" s="28">
        <f>SUMIF(Transactions!$K$19:$K$46,'Percentage Calc'!$E226,Transactions!P$19:P$46)</f>
        <v>0</v>
      </c>
      <c r="R226" s="28">
        <f t="shared" si="18"/>
        <v>0</v>
      </c>
      <c r="S226" s="28">
        <f t="shared" si="19"/>
        <v>0</v>
      </c>
    </row>
    <row r="227" spans="1:19" x14ac:dyDescent="0.35">
      <c r="A227" s="9"/>
      <c r="B227" s="32"/>
      <c r="C227" s="28">
        <f>IF(Check!$B$87=1,1,IF(R227&lt;1,0,1))</f>
        <v>1</v>
      </c>
      <c r="D227" s="28">
        <f t="shared" si="20"/>
        <v>1</v>
      </c>
      <c r="E227" s="32">
        <v>46051</v>
      </c>
      <c r="F227" s="28">
        <f>SUMIF(Transactions!$C$18:$C$46,'Percentage Calc'!$E227,Transactions!D$18:D$46)</f>
        <v>0</v>
      </c>
      <c r="G227" s="28">
        <f>SUMIF(Transactions!$C$18:$C$46,'Percentage Calc'!$E227,Transactions!E$18:E$46)</f>
        <v>0</v>
      </c>
      <c r="H227" s="28">
        <f>SUMIF(Transactions!$C$18:$C$46,'Percentage Calc'!$E227,Transactions!F$18:F$46)</f>
        <v>0</v>
      </c>
      <c r="I227" s="28">
        <f>SUMIF(Transactions!$C$18:$C$46,'Percentage Calc'!$E227,Transactions!G$18:G$46)</f>
        <v>0</v>
      </c>
      <c r="J227" s="28">
        <f t="shared" ref="J227:J290" si="21">SUM(F227:I227)+J226</f>
        <v>0</v>
      </c>
      <c r="K227" s="28">
        <f t="shared" ref="K227:K290" si="22">ROUND($C227*J227/$E$4,3)</f>
        <v>0</v>
      </c>
      <c r="L227" s="32"/>
      <c r="M227" s="28">
        <f>SUMIF(Transactions!$K$19:$K$46,'Percentage Calc'!$E227,Transactions!L$19:L$46)</f>
        <v>0</v>
      </c>
      <c r="N227" s="28">
        <f>SUMIF(Transactions!$K$19:$K$46,'Percentage Calc'!$E227,Transactions!M$19:M$46)</f>
        <v>0</v>
      </c>
      <c r="O227" s="28">
        <f>SUMIF(Transactions!$K$19:$K$46,'Percentage Calc'!$E227,Transactions!N$19:N$46)</f>
        <v>0</v>
      </c>
      <c r="P227" s="28">
        <f>SUMIF(Transactions!$K$19:$K$46,'Percentage Calc'!$E227,Transactions!O$19:O$46)</f>
        <v>0</v>
      </c>
      <c r="Q227" s="28">
        <f>SUMIF(Transactions!$K$19:$K$46,'Percentage Calc'!$E227,Transactions!P$19:P$46)</f>
        <v>0</v>
      </c>
      <c r="R227" s="28">
        <f t="shared" ref="R227:R290" si="23">SUM(M227:Q227)+R226</f>
        <v>0</v>
      </c>
      <c r="S227" s="28">
        <f t="shared" ref="S227:S290" si="24">ROUND($C227*R227/$E$4,3)</f>
        <v>0</v>
      </c>
    </row>
    <row r="228" spans="1:19" x14ac:dyDescent="0.35">
      <c r="A228" s="9"/>
      <c r="B228" s="32"/>
      <c r="C228" s="28">
        <f>IF(Check!$B$87=1,1,IF(R228&lt;1,0,1))</f>
        <v>1</v>
      </c>
      <c r="D228" s="28">
        <f t="shared" si="20"/>
        <v>1</v>
      </c>
      <c r="E228" s="32">
        <v>46052</v>
      </c>
      <c r="F228" s="28">
        <f>SUMIF(Transactions!$C$18:$C$46,'Percentage Calc'!$E228,Transactions!D$18:D$46)</f>
        <v>0</v>
      </c>
      <c r="G228" s="28">
        <f>SUMIF(Transactions!$C$18:$C$46,'Percentage Calc'!$E228,Transactions!E$18:E$46)</f>
        <v>0</v>
      </c>
      <c r="H228" s="28">
        <f>SUMIF(Transactions!$C$18:$C$46,'Percentage Calc'!$E228,Transactions!F$18:F$46)</f>
        <v>0</v>
      </c>
      <c r="I228" s="28">
        <f>SUMIF(Transactions!$C$18:$C$46,'Percentage Calc'!$E228,Transactions!G$18:G$46)</f>
        <v>0</v>
      </c>
      <c r="J228" s="28">
        <f t="shared" si="21"/>
        <v>0</v>
      </c>
      <c r="K228" s="28">
        <f t="shared" si="22"/>
        <v>0</v>
      </c>
      <c r="L228" s="32"/>
      <c r="M228" s="28">
        <f>SUMIF(Transactions!$K$19:$K$46,'Percentage Calc'!$E228,Transactions!L$19:L$46)</f>
        <v>0</v>
      </c>
      <c r="N228" s="28">
        <f>SUMIF(Transactions!$K$19:$K$46,'Percentage Calc'!$E228,Transactions!M$19:M$46)</f>
        <v>0</v>
      </c>
      <c r="O228" s="28">
        <f>SUMIF(Transactions!$K$19:$K$46,'Percentage Calc'!$E228,Transactions!N$19:N$46)</f>
        <v>0</v>
      </c>
      <c r="P228" s="28">
        <f>SUMIF(Transactions!$K$19:$K$46,'Percentage Calc'!$E228,Transactions!O$19:O$46)</f>
        <v>0</v>
      </c>
      <c r="Q228" s="28">
        <f>SUMIF(Transactions!$K$19:$K$46,'Percentage Calc'!$E228,Transactions!P$19:P$46)</f>
        <v>0</v>
      </c>
      <c r="R228" s="28">
        <f t="shared" si="23"/>
        <v>0</v>
      </c>
      <c r="S228" s="28">
        <f t="shared" si="24"/>
        <v>0</v>
      </c>
    </row>
    <row r="229" spans="1:19" x14ac:dyDescent="0.35">
      <c r="A229" s="9"/>
      <c r="B229" s="32"/>
      <c r="C229" s="28">
        <f>IF(Check!$B$87=1,1,IF(R229&lt;1,0,1))</f>
        <v>1</v>
      </c>
      <c r="D229" s="28">
        <f t="shared" si="20"/>
        <v>1</v>
      </c>
      <c r="E229" s="32">
        <v>46053</v>
      </c>
      <c r="F229" s="28">
        <f>SUMIF(Transactions!$C$18:$C$46,'Percentage Calc'!$E229,Transactions!D$18:D$46)</f>
        <v>0</v>
      </c>
      <c r="G229" s="28">
        <f>SUMIF(Transactions!$C$18:$C$46,'Percentage Calc'!$E229,Transactions!E$18:E$46)</f>
        <v>0</v>
      </c>
      <c r="H229" s="28">
        <f>SUMIF(Transactions!$C$18:$C$46,'Percentage Calc'!$E229,Transactions!F$18:F$46)</f>
        <v>0</v>
      </c>
      <c r="I229" s="28">
        <f>SUMIF(Transactions!$C$18:$C$46,'Percentage Calc'!$E229,Transactions!G$18:G$46)</f>
        <v>0</v>
      </c>
      <c r="J229" s="28">
        <f t="shared" si="21"/>
        <v>0</v>
      </c>
      <c r="K229" s="28">
        <f t="shared" si="22"/>
        <v>0</v>
      </c>
      <c r="L229" s="32"/>
      <c r="M229" s="28">
        <f>SUMIF(Transactions!$K$19:$K$46,'Percentage Calc'!$E229,Transactions!L$19:L$46)</f>
        <v>0</v>
      </c>
      <c r="N229" s="28">
        <f>SUMIF(Transactions!$K$19:$K$46,'Percentage Calc'!$E229,Transactions!M$19:M$46)</f>
        <v>0</v>
      </c>
      <c r="O229" s="28">
        <f>SUMIF(Transactions!$K$19:$K$46,'Percentage Calc'!$E229,Transactions!N$19:N$46)</f>
        <v>0</v>
      </c>
      <c r="P229" s="28">
        <f>SUMIF(Transactions!$K$19:$K$46,'Percentage Calc'!$E229,Transactions!O$19:O$46)</f>
        <v>0</v>
      </c>
      <c r="Q229" s="28">
        <f>SUMIF(Transactions!$K$19:$K$46,'Percentage Calc'!$E229,Transactions!P$19:P$46)</f>
        <v>0</v>
      </c>
      <c r="R229" s="28">
        <f t="shared" si="23"/>
        <v>0</v>
      </c>
      <c r="S229" s="28">
        <f t="shared" si="24"/>
        <v>0</v>
      </c>
    </row>
    <row r="230" spans="1:19" x14ac:dyDescent="0.35">
      <c r="A230" s="9"/>
      <c r="B230" s="32"/>
      <c r="C230" s="28">
        <f>IF(Check!$B$87=1,1,IF(R230&lt;1,0,1))</f>
        <v>1</v>
      </c>
      <c r="D230" s="28">
        <f t="shared" si="20"/>
        <v>1</v>
      </c>
      <c r="E230" s="32">
        <v>46054</v>
      </c>
      <c r="F230" s="28">
        <f>SUMIF(Transactions!$C$18:$C$46,'Percentage Calc'!$E230,Transactions!D$18:D$46)</f>
        <v>0</v>
      </c>
      <c r="G230" s="28">
        <f>SUMIF(Transactions!$C$18:$C$46,'Percentage Calc'!$E230,Transactions!E$18:E$46)</f>
        <v>0</v>
      </c>
      <c r="H230" s="28">
        <f>SUMIF(Transactions!$C$18:$C$46,'Percentage Calc'!$E230,Transactions!F$18:F$46)</f>
        <v>0</v>
      </c>
      <c r="I230" s="28">
        <f>SUMIF(Transactions!$C$18:$C$46,'Percentage Calc'!$E230,Transactions!G$18:G$46)</f>
        <v>0</v>
      </c>
      <c r="J230" s="28">
        <f t="shared" si="21"/>
        <v>0</v>
      </c>
      <c r="K230" s="28">
        <f t="shared" si="22"/>
        <v>0</v>
      </c>
      <c r="L230" s="32"/>
      <c r="M230" s="28">
        <f>SUMIF(Transactions!$K$19:$K$46,'Percentage Calc'!$E230,Transactions!L$19:L$46)</f>
        <v>0</v>
      </c>
      <c r="N230" s="28">
        <f>SUMIF(Transactions!$K$19:$K$46,'Percentage Calc'!$E230,Transactions!M$19:M$46)</f>
        <v>0</v>
      </c>
      <c r="O230" s="28">
        <f>SUMIF(Transactions!$K$19:$K$46,'Percentage Calc'!$E230,Transactions!N$19:N$46)</f>
        <v>0</v>
      </c>
      <c r="P230" s="28">
        <f>SUMIF(Transactions!$K$19:$K$46,'Percentage Calc'!$E230,Transactions!O$19:O$46)</f>
        <v>0</v>
      </c>
      <c r="Q230" s="28">
        <f>SUMIF(Transactions!$K$19:$K$46,'Percentage Calc'!$E230,Transactions!P$19:P$46)</f>
        <v>0</v>
      </c>
      <c r="R230" s="28">
        <f t="shared" si="23"/>
        <v>0</v>
      </c>
      <c r="S230" s="28">
        <f t="shared" si="24"/>
        <v>0</v>
      </c>
    </row>
    <row r="231" spans="1:19" x14ac:dyDescent="0.35">
      <c r="A231" s="9"/>
      <c r="B231" s="32"/>
      <c r="C231" s="28">
        <f>IF(Check!$B$87=1,1,IF(R231&lt;1,0,1))</f>
        <v>1</v>
      </c>
      <c r="D231" s="28">
        <f t="shared" si="20"/>
        <v>1</v>
      </c>
      <c r="E231" s="32">
        <v>46055</v>
      </c>
      <c r="F231" s="28">
        <f>SUMIF(Transactions!$C$18:$C$46,'Percentage Calc'!$E231,Transactions!D$18:D$46)</f>
        <v>0</v>
      </c>
      <c r="G231" s="28">
        <f>SUMIF(Transactions!$C$18:$C$46,'Percentage Calc'!$E231,Transactions!E$18:E$46)</f>
        <v>0</v>
      </c>
      <c r="H231" s="28">
        <f>SUMIF(Transactions!$C$18:$C$46,'Percentage Calc'!$E231,Transactions!F$18:F$46)</f>
        <v>0</v>
      </c>
      <c r="I231" s="28">
        <f>SUMIF(Transactions!$C$18:$C$46,'Percentage Calc'!$E231,Transactions!G$18:G$46)</f>
        <v>0</v>
      </c>
      <c r="J231" s="28">
        <f t="shared" si="21"/>
        <v>0</v>
      </c>
      <c r="K231" s="28">
        <f t="shared" si="22"/>
        <v>0</v>
      </c>
      <c r="L231" s="32"/>
      <c r="M231" s="28">
        <f>SUMIF(Transactions!$K$19:$K$46,'Percentage Calc'!$E231,Transactions!L$19:L$46)</f>
        <v>0</v>
      </c>
      <c r="N231" s="28">
        <f>SUMIF(Transactions!$K$19:$K$46,'Percentage Calc'!$E231,Transactions!M$19:M$46)</f>
        <v>0</v>
      </c>
      <c r="O231" s="28">
        <f>SUMIF(Transactions!$K$19:$K$46,'Percentage Calc'!$E231,Transactions!N$19:N$46)</f>
        <v>0</v>
      </c>
      <c r="P231" s="28">
        <f>SUMIF(Transactions!$K$19:$K$46,'Percentage Calc'!$E231,Transactions!O$19:O$46)</f>
        <v>0</v>
      </c>
      <c r="Q231" s="28">
        <f>SUMIF(Transactions!$K$19:$K$46,'Percentage Calc'!$E231,Transactions!P$19:P$46)</f>
        <v>0</v>
      </c>
      <c r="R231" s="28">
        <f t="shared" si="23"/>
        <v>0</v>
      </c>
      <c r="S231" s="28">
        <f t="shared" si="24"/>
        <v>0</v>
      </c>
    </row>
    <row r="232" spans="1:19" x14ac:dyDescent="0.35">
      <c r="A232" s="9"/>
      <c r="B232" s="32"/>
      <c r="C232" s="28">
        <f>IF(Check!$B$87=1,1,IF(R232&lt;1,0,1))</f>
        <v>1</v>
      </c>
      <c r="D232" s="28">
        <f t="shared" si="20"/>
        <v>1</v>
      </c>
      <c r="E232" s="32">
        <v>46056</v>
      </c>
      <c r="F232" s="28">
        <f>SUMIF(Transactions!$C$18:$C$46,'Percentage Calc'!$E232,Transactions!D$18:D$46)</f>
        <v>0</v>
      </c>
      <c r="G232" s="28">
        <f>SUMIF(Transactions!$C$18:$C$46,'Percentage Calc'!$E232,Transactions!E$18:E$46)</f>
        <v>0</v>
      </c>
      <c r="H232" s="28">
        <f>SUMIF(Transactions!$C$18:$C$46,'Percentage Calc'!$E232,Transactions!F$18:F$46)</f>
        <v>0</v>
      </c>
      <c r="I232" s="28">
        <f>SUMIF(Transactions!$C$18:$C$46,'Percentage Calc'!$E232,Transactions!G$18:G$46)</f>
        <v>0</v>
      </c>
      <c r="J232" s="28">
        <f t="shared" si="21"/>
        <v>0</v>
      </c>
      <c r="K232" s="28">
        <f t="shared" si="22"/>
        <v>0</v>
      </c>
      <c r="L232" s="32"/>
      <c r="M232" s="28">
        <f>SUMIF(Transactions!$K$19:$K$46,'Percentage Calc'!$E232,Transactions!L$19:L$46)</f>
        <v>0</v>
      </c>
      <c r="N232" s="28">
        <f>SUMIF(Transactions!$K$19:$K$46,'Percentage Calc'!$E232,Transactions!M$19:M$46)</f>
        <v>0</v>
      </c>
      <c r="O232" s="28">
        <f>SUMIF(Transactions!$K$19:$K$46,'Percentage Calc'!$E232,Transactions!N$19:N$46)</f>
        <v>0</v>
      </c>
      <c r="P232" s="28">
        <f>SUMIF(Transactions!$K$19:$K$46,'Percentage Calc'!$E232,Transactions!O$19:O$46)</f>
        <v>0</v>
      </c>
      <c r="Q232" s="28">
        <f>SUMIF(Transactions!$K$19:$K$46,'Percentage Calc'!$E232,Transactions!P$19:P$46)</f>
        <v>0</v>
      </c>
      <c r="R232" s="28">
        <f t="shared" si="23"/>
        <v>0</v>
      </c>
      <c r="S232" s="28">
        <f t="shared" si="24"/>
        <v>0</v>
      </c>
    </row>
    <row r="233" spans="1:19" x14ac:dyDescent="0.35">
      <c r="A233" s="9"/>
      <c r="B233" s="32"/>
      <c r="C233" s="28">
        <f>IF(Check!$B$87=1,1,IF(R233&lt;1,0,1))</f>
        <v>1</v>
      </c>
      <c r="D233" s="28">
        <f t="shared" si="20"/>
        <v>1</v>
      </c>
      <c r="E233" s="32">
        <v>46057</v>
      </c>
      <c r="F233" s="28">
        <f>SUMIF(Transactions!$C$18:$C$46,'Percentage Calc'!$E233,Transactions!D$18:D$46)</f>
        <v>0</v>
      </c>
      <c r="G233" s="28">
        <f>SUMIF(Transactions!$C$18:$C$46,'Percentage Calc'!$E233,Transactions!E$18:E$46)</f>
        <v>0</v>
      </c>
      <c r="H233" s="28">
        <f>SUMIF(Transactions!$C$18:$C$46,'Percentage Calc'!$E233,Transactions!F$18:F$46)</f>
        <v>0</v>
      </c>
      <c r="I233" s="28">
        <f>SUMIF(Transactions!$C$18:$C$46,'Percentage Calc'!$E233,Transactions!G$18:G$46)</f>
        <v>0</v>
      </c>
      <c r="J233" s="28">
        <f t="shared" si="21"/>
        <v>0</v>
      </c>
      <c r="K233" s="28">
        <f t="shared" si="22"/>
        <v>0</v>
      </c>
      <c r="L233" s="32"/>
      <c r="M233" s="28">
        <f>SUMIF(Transactions!$K$19:$K$46,'Percentage Calc'!$E233,Transactions!L$19:L$46)</f>
        <v>0</v>
      </c>
      <c r="N233" s="28">
        <f>SUMIF(Transactions!$K$19:$K$46,'Percentage Calc'!$E233,Transactions!M$19:M$46)</f>
        <v>0</v>
      </c>
      <c r="O233" s="28">
        <f>SUMIF(Transactions!$K$19:$K$46,'Percentage Calc'!$E233,Transactions!N$19:N$46)</f>
        <v>0</v>
      </c>
      <c r="P233" s="28">
        <f>SUMIF(Transactions!$K$19:$K$46,'Percentage Calc'!$E233,Transactions!O$19:O$46)</f>
        <v>0</v>
      </c>
      <c r="Q233" s="28">
        <f>SUMIF(Transactions!$K$19:$K$46,'Percentage Calc'!$E233,Transactions!P$19:P$46)</f>
        <v>0</v>
      </c>
      <c r="R233" s="28">
        <f t="shared" si="23"/>
        <v>0</v>
      </c>
      <c r="S233" s="28">
        <f t="shared" si="24"/>
        <v>0</v>
      </c>
    </row>
    <row r="234" spans="1:19" x14ac:dyDescent="0.35">
      <c r="A234" s="9"/>
      <c r="B234" s="32"/>
      <c r="C234" s="28">
        <f>IF(Check!$B$87=1,1,IF(R234&lt;1,0,1))</f>
        <v>1</v>
      </c>
      <c r="D234" s="28">
        <f t="shared" si="20"/>
        <v>1</v>
      </c>
      <c r="E234" s="32">
        <v>46058</v>
      </c>
      <c r="F234" s="28">
        <f>SUMIF(Transactions!$C$18:$C$46,'Percentage Calc'!$E234,Transactions!D$18:D$46)</f>
        <v>0</v>
      </c>
      <c r="G234" s="28">
        <f>SUMIF(Transactions!$C$18:$C$46,'Percentage Calc'!$E234,Transactions!E$18:E$46)</f>
        <v>0</v>
      </c>
      <c r="H234" s="28">
        <f>SUMIF(Transactions!$C$18:$C$46,'Percentage Calc'!$E234,Transactions!F$18:F$46)</f>
        <v>0</v>
      </c>
      <c r="I234" s="28">
        <f>SUMIF(Transactions!$C$18:$C$46,'Percentage Calc'!$E234,Transactions!G$18:G$46)</f>
        <v>0</v>
      </c>
      <c r="J234" s="28">
        <f t="shared" si="21"/>
        <v>0</v>
      </c>
      <c r="K234" s="28">
        <f t="shared" si="22"/>
        <v>0</v>
      </c>
      <c r="L234" s="32"/>
      <c r="M234" s="28">
        <f>SUMIF(Transactions!$K$19:$K$46,'Percentage Calc'!$E234,Transactions!L$19:L$46)</f>
        <v>0</v>
      </c>
      <c r="N234" s="28">
        <f>SUMIF(Transactions!$K$19:$K$46,'Percentage Calc'!$E234,Transactions!M$19:M$46)</f>
        <v>0</v>
      </c>
      <c r="O234" s="28">
        <f>SUMIF(Transactions!$K$19:$K$46,'Percentage Calc'!$E234,Transactions!N$19:N$46)</f>
        <v>0</v>
      </c>
      <c r="P234" s="28">
        <f>SUMIF(Transactions!$K$19:$K$46,'Percentage Calc'!$E234,Transactions!O$19:O$46)</f>
        <v>0</v>
      </c>
      <c r="Q234" s="28">
        <f>SUMIF(Transactions!$K$19:$K$46,'Percentage Calc'!$E234,Transactions!P$19:P$46)</f>
        <v>0</v>
      </c>
      <c r="R234" s="28">
        <f t="shared" si="23"/>
        <v>0</v>
      </c>
      <c r="S234" s="28">
        <f t="shared" si="24"/>
        <v>0</v>
      </c>
    </row>
    <row r="235" spans="1:19" x14ac:dyDescent="0.35">
      <c r="A235" s="9"/>
      <c r="B235" s="32"/>
      <c r="C235" s="28">
        <f>IF(Check!$B$87=1,1,IF(R235&lt;1,0,1))</f>
        <v>1</v>
      </c>
      <c r="D235" s="28">
        <f t="shared" si="20"/>
        <v>1</v>
      </c>
      <c r="E235" s="32">
        <v>46059</v>
      </c>
      <c r="F235" s="28">
        <f>SUMIF(Transactions!$C$18:$C$46,'Percentage Calc'!$E235,Transactions!D$18:D$46)</f>
        <v>0</v>
      </c>
      <c r="G235" s="28">
        <f>SUMIF(Transactions!$C$18:$C$46,'Percentage Calc'!$E235,Transactions!E$18:E$46)</f>
        <v>0</v>
      </c>
      <c r="H235" s="28">
        <f>SUMIF(Transactions!$C$18:$C$46,'Percentage Calc'!$E235,Transactions!F$18:F$46)</f>
        <v>0</v>
      </c>
      <c r="I235" s="28">
        <f>SUMIF(Transactions!$C$18:$C$46,'Percentage Calc'!$E235,Transactions!G$18:G$46)</f>
        <v>0</v>
      </c>
      <c r="J235" s="28">
        <f t="shared" si="21"/>
        <v>0</v>
      </c>
      <c r="K235" s="28">
        <f t="shared" si="22"/>
        <v>0</v>
      </c>
      <c r="L235" s="32"/>
      <c r="M235" s="28">
        <f>SUMIF(Transactions!$K$19:$K$46,'Percentage Calc'!$E235,Transactions!L$19:L$46)</f>
        <v>0</v>
      </c>
      <c r="N235" s="28">
        <f>SUMIF(Transactions!$K$19:$K$46,'Percentage Calc'!$E235,Transactions!M$19:M$46)</f>
        <v>0</v>
      </c>
      <c r="O235" s="28">
        <f>SUMIF(Transactions!$K$19:$K$46,'Percentage Calc'!$E235,Transactions!N$19:N$46)</f>
        <v>0</v>
      </c>
      <c r="P235" s="28">
        <f>SUMIF(Transactions!$K$19:$K$46,'Percentage Calc'!$E235,Transactions!O$19:O$46)</f>
        <v>0</v>
      </c>
      <c r="Q235" s="28">
        <f>SUMIF(Transactions!$K$19:$K$46,'Percentage Calc'!$E235,Transactions!P$19:P$46)</f>
        <v>0</v>
      </c>
      <c r="R235" s="28">
        <f t="shared" si="23"/>
        <v>0</v>
      </c>
      <c r="S235" s="28">
        <f t="shared" si="24"/>
        <v>0</v>
      </c>
    </row>
    <row r="236" spans="1:19" x14ac:dyDescent="0.35">
      <c r="A236" s="9"/>
      <c r="B236" s="32"/>
      <c r="C236" s="28">
        <f>IF(Check!$B$87=1,1,IF(R236&lt;1,0,1))</f>
        <v>1</v>
      </c>
      <c r="D236" s="28">
        <f t="shared" si="20"/>
        <v>1</v>
      </c>
      <c r="E236" s="32">
        <v>46060</v>
      </c>
      <c r="F236" s="28">
        <f>SUMIF(Transactions!$C$18:$C$46,'Percentage Calc'!$E236,Transactions!D$18:D$46)</f>
        <v>0</v>
      </c>
      <c r="G236" s="28">
        <f>SUMIF(Transactions!$C$18:$C$46,'Percentage Calc'!$E236,Transactions!E$18:E$46)</f>
        <v>0</v>
      </c>
      <c r="H236" s="28">
        <f>SUMIF(Transactions!$C$18:$C$46,'Percentage Calc'!$E236,Transactions!F$18:F$46)</f>
        <v>0</v>
      </c>
      <c r="I236" s="28">
        <f>SUMIF(Transactions!$C$18:$C$46,'Percentage Calc'!$E236,Transactions!G$18:G$46)</f>
        <v>0</v>
      </c>
      <c r="J236" s="28">
        <f t="shared" si="21"/>
        <v>0</v>
      </c>
      <c r="K236" s="28">
        <f t="shared" si="22"/>
        <v>0</v>
      </c>
      <c r="L236" s="32"/>
      <c r="M236" s="28">
        <f>SUMIF(Transactions!$K$19:$K$46,'Percentage Calc'!$E236,Transactions!L$19:L$46)</f>
        <v>0</v>
      </c>
      <c r="N236" s="28">
        <f>SUMIF(Transactions!$K$19:$K$46,'Percentage Calc'!$E236,Transactions!M$19:M$46)</f>
        <v>0</v>
      </c>
      <c r="O236" s="28">
        <f>SUMIF(Transactions!$K$19:$K$46,'Percentage Calc'!$E236,Transactions!N$19:N$46)</f>
        <v>0</v>
      </c>
      <c r="P236" s="28">
        <f>SUMIF(Transactions!$K$19:$K$46,'Percentage Calc'!$E236,Transactions!O$19:O$46)</f>
        <v>0</v>
      </c>
      <c r="Q236" s="28">
        <f>SUMIF(Transactions!$K$19:$K$46,'Percentage Calc'!$E236,Transactions!P$19:P$46)</f>
        <v>0</v>
      </c>
      <c r="R236" s="28">
        <f t="shared" si="23"/>
        <v>0</v>
      </c>
      <c r="S236" s="28">
        <f t="shared" si="24"/>
        <v>0</v>
      </c>
    </row>
    <row r="237" spans="1:19" x14ac:dyDescent="0.35">
      <c r="A237" s="9"/>
      <c r="B237" s="32"/>
      <c r="C237" s="28">
        <f>IF(Check!$B$87=1,1,IF(R237&lt;1,0,1))</f>
        <v>1</v>
      </c>
      <c r="D237" s="28">
        <f t="shared" si="20"/>
        <v>1</v>
      </c>
      <c r="E237" s="32">
        <v>46061</v>
      </c>
      <c r="F237" s="28">
        <f>SUMIF(Transactions!$C$18:$C$46,'Percentage Calc'!$E237,Transactions!D$18:D$46)</f>
        <v>0</v>
      </c>
      <c r="G237" s="28">
        <f>SUMIF(Transactions!$C$18:$C$46,'Percentage Calc'!$E237,Transactions!E$18:E$46)</f>
        <v>0</v>
      </c>
      <c r="H237" s="28">
        <f>SUMIF(Transactions!$C$18:$C$46,'Percentage Calc'!$E237,Transactions!F$18:F$46)</f>
        <v>0</v>
      </c>
      <c r="I237" s="28">
        <f>SUMIF(Transactions!$C$18:$C$46,'Percentage Calc'!$E237,Transactions!G$18:G$46)</f>
        <v>0</v>
      </c>
      <c r="J237" s="28">
        <f t="shared" si="21"/>
        <v>0</v>
      </c>
      <c r="K237" s="28">
        <f t="shared" si="22"/>
        <v>0</v>
      </c>
      <c r="L237" s="32"/>
      <c r="M237" s="28">
        <f>SUMIF(Transactions!$K$19:$K$46,'Percentage Calc'!$E237,Transactions!L$19:L$46)</f>
        <v>0</v>
      </c>
      <c r="N237" s="28">
        <f>SUMIF(Transactions!$K$19:$K$46,'Percentage Calc'!$E237,Transactions!M$19:M$46)</f>
        <v>0</v>
      </c>
      <c r="O237" s="28">
        <f>SUMIF(Transactions!$K$19:$K$46,'Percentage Calc'!$E237,Transactions!N$19:N$46)</f>
        <v>0</v>
      </c>
      <c r="P237" s="28">
        <f>SUMIF(Transactions!$K$19:$K$46,'Percentage Calc'!$E237,Transactions!O$19:O$46)</f>
        <v>0</v>
      </c>
      <c r="Q237" s="28">
        <f>SUMIF(Transactions!$K$19:$K$46,'Percentage Calc'!$E237,Transactions!P$19:P$46)</f>
        <v>0</v>
      </c>
      <c r="R237" s="28">
        <f t="shared" si="23"/>
        <v>0</v>
      </c>
      <c r="S237" s="28">
        <f t="shared" si="24"/>
        <v>0</v>
      </c>
    </row>
    <row r="238" spans="1:19" x14ac:dyDescent="0.35">
      <c r="A238" s="9"/>
      <c r="B238" s="32"/>
      <c r="C238" s="28">
        <f>IF(Check!$B$87=1,1,IF(R238&lt;1,0,1))</f>
        <v>1</v>
      </c>
      <c r="D238" s="28">
        <f t="shared" si="20"/>
        <v>1</v>
      </c>
      <c r="E238" s="32">
        <v>46062</v>
      </c>
      <c r="F238" s="28">
        <f>SUMIF(Transactions!$C$18:$C$46,'Percentage Calc'!$E238,Transactions!D$18:D$46)</f>
        <v>0</v>
      </c>
      <c r="G238" s="28">
        <f>SUMIF(Transactions!$C$18:$C$46,'Percentage Calc'!$E238,Transactions!E$18:E$46)</f>
        <v>0</v>
      </c>
      <c r="H238" s="28">
        <f>SUMIF(Transactions!$C$18:$C$46,'Percentage Calc'!$E238,Transactions!F$18:F$46)</f>
        <v>0</v>
      </c>
      <c r="I238" s="28">
        <f>SUMIF(Transactions!$C$18:$C$46,'Percentage Calc'!$E238,Transactions!G$18:G$46)</f>
        <v>0</v>
      </c>
      <c r="J238" s="28">
        <f t="shared" si="21"/>
        <v>0</v>
      </c>
      <c r="K238" s="28">
        <f t="shared" si="22"/>
        <v>0</v>
      </c>
      <c r="L238" s="32"/>
      <c r="M238" s="28">
        <f>SUMIF(Transactions!$K$19:$K$46,'Percentage Calc'!$E238,Transactions!L$19:L$46)</f>
        <v>0</v>
      </c>
      <c r="N238" s="28">
        <f>SUMIF(Transactions!$K$19:$K$46,'Percentage Calc'!$E238,Transactions!M$19:M$46)</f>
        <v>0</v>
      </c>
      <c r="O238" s="28">
        <f>SUMIF(Transactions!$K$19:$K$46,'Percentage Calc'!$E238,Transactions!N$19:N$46)</f>
        <v>0</v>
      </c>
      <c r="P238" s="28">
        <f>SUMIF(Transactions!$K$19:$K$46,'Percentage Calc'!$E238,Transactions!O$19:O$46)</f>
        <v>0</v>
      </c>
      <c r="Q238" s="28">
        <f>SUMIF(Transactions!$K$19:$K$46,'Percentage Calc'!$E238,Transactions!P$19:P$46)</f>
        <v>0</v>
      </c>
      <c r="R238" s="28">
        <f t="shared" si="23"/>
        <v>0</v>
      </c>
      <c r="S238" s="28">
        <f t="shared" si="24"/>
        <v>0</v>
      </c>
    </row>
    <row r="239" spans="1:19" x14ac:dyDescent="0.35">
      <c r="A239" s="9"/>
      <c r="B239" s="32"/>
      <c r="C239" s="28">
        <f>IF(Check!$B$87=1,1,IF(R239&lt;1,0,1))</f>
        <v>1</v>
      </c>
      <c r="D239" s="28">
        <f t="shared" si="20"/>
        <v>1</v>
      </c>
      <c r="E239" s="32">
        <v>46063</v>
      </c>
      <c r="F239" s="28">
        <f>SUMIF(Transactions!$C$18:$C$46,'Percentage Calc'!$E239,Transactions!D$18:D$46)</f>
        <v>0</v>
      </c>
      <c r="G239" s="28">
        <f>SUMIF(Transactions!$C$18:$C$46,'Percentage Calc'!$E239,Transactions!E$18:E$46)</f>
        <v>0</v>
      </c>
      <c r="H239" s="28">
        <f>SUMIF(Transactions!$C$18:$C$46,'Percentage Calc'!$E239,Transactions!F$18:F$46)</f>
        <v>0</v>
      </c>
      <c r="I239" s="28">
        <f>SUMIF(Transactions!$C$18:$C$46,'Percentage Calc'!$E239,Transactions!G$18:G$46)</f>
        <v>0</v>
      </c>
      <c r="J239" s="28">
        <f t="shared" si="21"/>
        <v>0</v>
      </c>
      <c r="K239" s="28">
        <f t="shared" si="22"/>
        <v>0</v>
      </c>
      <c r="L239" s="32"/>
      <c r="M239" s="28">
        <f>SUMIF(Transactions!$K$19:$K$46,'Percentage Calc'!$E239,Transactions!L$19:L$46)</f>
        <v>0</v>
      </c>
      <c r="N239" s="28">
        <f>SUMIF(Transactions!$K$19:$K$46,'Percentage Calc'!$E239,Transactions!M$19:M$46)</f>
        <v>0</v>
      </c>
      <c r="O239" s="28">
        <f>SUMIF(Transactions!$K$19:$K$46,'Percentage Calc'!$E239,Transactions!N$19:N$46)</f>
        <v>0</v>
      </c>
      <c r="P239" s="28">
        <f>SUMIF(Transactions!$K$19:$K$46,'Percentage Calc'!$E239,Transactions!O$19:O$46)</f>
        <v>0</v>
      </c>
      <c r="Q239" s="28">
        <f>SUMIF(Transactions!$K$19:$K$46,'Percentage Calc'!$E239,Transactions!P$19:P$46)</f>
        <v>0</v>
      </c>
      <c r="R239" s="28">
        <f t="shared" si="23"/>
        <v>0</v>
      </c>
      <c r="S239" s="28">
        <f t="shared" si="24"/>
        <v>0</v>
      </c>
    </row>
    <row r="240" spans="1:19" x14ac:dyDescent="0.35">
      <c r="A240" s="9"/>
      <c r="B240" s="32"/>
      <c r="C240" s="28">
        <f>IF(Check!$B$87=1,1,IF(R240&lt;1,0,1))</f>
        <v>1</v>
      </c>
      <c r="D240" s="28">
        <f t="shared" si="20"/>
        <v>1</v>
      </c>
      <c r="E240" s="32">
        <v>46064</v>
      </c>
      <c r="F240" s="28">
        <f>SUMIF(Transactions!$C$18:$C$46,'Percentage Calc'!$E240,Transactions!D$18:D$46)</f>
        <v>0</v>
      </c>
      <c r="G240" s="28">
        <f>SUMIF(Transactions!$C$18:$C$46,'Percentage Calc'!$E240,Transactions!E$18:E$46)</f>
        <v>0</v>
      </c>
      <c r="H240" s="28">
        <f>SUMIF(Transactions!$C$18:$C$46,'Percentage Calc'!$E240,Transactions!F$18:F$46)</f>
        <v>0</v>
      </c>
      <c r="I240" s="28">
        <f>SUMIF(Transactions!$C$18:$C$46,'Percentage Calc'!$E240,Transactions!G$18:G$46)</f>
        <v>0</v>
      </c>
      <c r="J240" s="28">
        <f t="shared" si="21"/>
        <v>0</v>
      </c>
      <c r="K240" s="28">
        <f t="shared" si="22"/>
        <v>0</v>
      </c>
      <c r="L240" s="32"/>
      <c r="M240" s="28">
        <f>SUMIF(Transactions!$K$19:$K$46,'Percentage Calc'!$E240,Transactions!L$19:L$46)</f>
        <v>0</v>
      </c>
      <c r="N240" s="28">
        <f>SUMIF(Transactions!$K$19:$K$46,'Percentage Calc'!$E240,Transactions!M$19:M$46)</f>
        <v>0</v>
      </c>
      <c r="O240" s="28">
        <f>SUMIF(Transactions!$K$19:$K$46,'Percentage Calc'!$E240,Transactions!N$19:N$46)</f>
        <v>0</v>
      </c>
      <c r="P240" s="28">
        <f>SUMIF(Transactions!$K$19:$K$46,'Percentage Calc'!$E240,Transactions!O$19:O$46)</f>
        <v>0</v>
      </c>
      <c r="Q240" s="28">
        <f>SUMIF(Transactions!$K$19:$K$46,'Percentage Calc'!$E240,Transactions!P$19:P$46)</f>
        <v>0</v>
      </c>
      <c r="R240" s="28">
        <f t="shared" si="23"/>
        <v>0</v>
      </c>
      <c r="S240" s="28">
        <f t="shared" si="24"/>
        <v>0</v>
      </c>
    </row>
    <row r="241" spans="1:19" x14ac:dyDescent="0.35">
      <c r="A241" s="9"/>
      <c r="B241" s="32"/>
      <c r="C241" s="28">
        <f>IF(Check!$B$87=1,1,IF(R241&lt;1,0,1))</f>
        <v>1</v>
      </c>
      <c r="D241" s="28">
        <f t="shared" si="20"/>
        <v>1</v>
      </c>
      <c r="E241" s="32">
        <v>46065</v>
      </c>
      <c r="F241" s="28">
        <f>SUMIF(Transactions!$C$18:$C$46,'Percentage Calc'!$E241,Transactions!D$18:D$46)</f>
        <v>0</v>
      </c>
      <c r="G241" s="28">
        <f>SUMIF(Transactions!$C$18:$C$46,'Percentage Calc'!$E241,Transactions!E$18:E$46)</f>
        <v>0</v>
      </c>
      <c r="H241" s="28">
        <f>SUMIF(Transactions!$C$18:$C$46,'Percentage Calc'!$E241,Transactions!F$18:F$46)</f>
        <v>0</v>
      </c>
      <c r="I241" s="28">
        <f>SUMIF(Transactions!$C$18:$C$46,'Percentage Calc'!$E241,Transactions!G$18:G$46)</f>
        <v>0</v>
      </c>
      <c r="J241" s="28">
        <f t="shared" si="21"/>
        <v>0</v>
      </c>
      <c r="K241" s="28">
        <f t="shared" si="22"/>
        <v>0</v>
      </c>
      <c r="L241" s="32"/>
      <c r="M241" s="28">
        <f>SUMIF(Transactions!$K$19:$K$46,'Percentage Calc'!$E241,Transactions!L$19:L$46)</f>
        <v>0</v>
      </c>
      <c r="N241" s="28">
        <f>SUMIF(Transactions!$K$19:$K$46,'Percentage Calc'!$E241,Transactions!M$19:M$46)</f>
        <v>0</v>
      </c>
      <c r="O241" s="28">
        <f>SUMIF(Transactions!$K$19:$K$46,'Percentage Calc'!$E241,Transactions!N$19:N$46)</f>
        <v>0</v>
      </c>
      <c r="P241" s="28">
        <f>SUMIF(Transactions!$K$19:$K$46,'Percentage Calc'!$E241,Transactions!O$19:O$46)</f>
        <v>0</v>
      </c>
      <c r="Q241" s="28">
        <f>SUMIF(Transactions!$K$19:$K$46,'Percentage Calc'!$E241,Transactions!P$19:P$46)</f>
        <v>0</v>
      </c>
      <c r="R241" s="28">
        <f t="shared" si="23"/>
        <v>0</v>
      </c>
      <c r="S241" s="28">
        <f t="shared" si="24"/>
        <v>0</v>
      </c>
    </row>
    <row r="242" spans="1:19" x14ac:dyDescent="0.35">
      <c r="A242" s="9"/>
      <c r="B242" s="32"/>
      <c r="C242" s="28">
        <f>IF(Check!$B$87=1,1,IF(R242&lt;1,0,1))</f>
        <v>1</v>
      </c>
      <c r="D242" s="28">
        <f t="shared" si="20"/>
        <v>1</v>
      </c>
      <c r="E242" s="32">
        <v>46066</v>
      </c>
      <c r="F242" s="28">
        <f>SUMIF(Transactions!$C$18:$C$46,'Percentage Calc'!$E242,Transactions!D$18:D$46)</f>
        <v>0</v>
      </c>
      <c r="G242" s="28">
        <f>SUMIF(Transactions!$C$18:$C$46,'Percentage Calc'!$E242,Transactions!E$18:E$46)</f>
        <v>0</v>
      </c>
      <c r="H242" s="28">
        <f>SUMIF(Transactions!$C$18:$C$46,'Percentage Calc'!$E242,Transactions!F$18:F$46)</f>
        <v>0</v>
      </c>
      <c r="I242" s="28">
        <f>SUMIF(Transactions!$C$18:$C$46,'Percentage Calc'!$E242,Transactions!G$18:G$46)</f>
        <v>0</v>
      </c>
      <c r="J242" s="28">
        <f t="shared" si="21"/>
        <v>0</v>
      </c>
      <c r="K242" s="28">
        <f t="shared" si="22"/>
        <v>0</v>
      </c>
      <c r="L242" s="32"/>
      <c r="M242" s="28">
        <f>SUMIF(Transactions!$K$19:$K$46,'Percentage Calc'!$E242,Transactions!L$19:L$46)</f>
        <v>0</v>
      </c>
      <c r="N242" s="28">
        <f>SUMIF(Transactions!$K$19:$K$46,'Percentage Calc'!$E242,Transactions!M$19:M$46)</f>
        <v>0</v>
      </c>
      <c r="O242" s="28">
        <f>SUMIF(Transactions!$K$19:$K$46,'Percentage Calc'!$E242,Transactions!N$19:N$46)</f>
        <v>0</v>
      </c>
      <c r="P242" s="28">
        <f>SUMIF(Transactions!$K$19:$K$46,'Percentage Calc'!$E242,Transactions!O$19:O$46)</f>
        <v>0</v>
      </c>
      <c r="Q242" s="28">
        <f>SUMIF(Transactions!$K$19:$K$46,'Percentage Calc'!$E242,Transactions!P$19:P$46)</f>
        <v>0</v>
      </c>
      <c r="R242" s="28">
        <f t="shared" si="23"/>
        <v>0</v>
      </c>
      <c r="S242" s="28">
        <f t="shared" si="24"/>
        <v>0</v>
      </c>
    </row>
    <row r="243" spans="1:19" x14ac:dyDescent="0.35">
      <c r="A243" s="9"/>
      <c r="B243" s="32"/>
      <c r="C243" s="28">
        <f>IF(Check!$B$87=1,1,IF(R243&lt;1,0,1))</f>
        <v>1</v>
      </c>
      <c r="D243" s="28">
        <f t="shared" si="20"/>
        <v>1</v>
      </c>
      <c r="E243" s="32">
        <v>46067</v>
      </c>
      <c r="F243" s="28">
        <f>SUMIF(Transactions!$C$18:$C$46,'Percentage Calc'!$E243,Transactions!D$18:D$46)</f>
        <v>0</v>
      </c>
      <c r="G243" s="28">
        <f>SUMIF(Transactions!$C$18:$C$46,'Percentage Calc'!$E243,Transactions!E$18:E$46)</f>
        <v>0</v>
      </c>
      <c r="H243" s="28">
        <f>SUMIF(Transactions!$C$18:$C$46,'Percentage Calc'!$E243,Transactions!F$18:F$46)</f>
        <v>0</v>
      </c>
      <c r="I243" s="28">
        <f>SUMIF(Transactions!$C$18:$C$46,'Percentage Calc'!$E243,Transactions!G$18:G$46)</f>
        <v>0</v>
      </c>
      <c r="J243" s="28">
        <f t="shared" si="21"/>
        <v>0</v>
      </c>
      <c r="K243" s="28">
        <f t="shared" si="22"/>
        <v>0</v>
      </c>
      <c r="L243" s="32"/>
      <c r="M243" s="28">
        <f>SUMIF(Transactions!$K$19:$K$46,'Percentage Calc'!$E243,Transactions!L$19:L$46)</f>
        <v>0</v>
      </c>
      <c r="N243" s="28">
        <f>SUMIF(Transactions!$K$19:$K$46,'Percentage Calc'!$E243,Transactions!M$19:M$46)</f>
        <v>0</v>
      </c>
      <c r="O243" s="28">
        <f>SUMIF(Transactions!$K$19:$K$46,'Percentage Calc'!$E243,Transactions!N$19:N$46)</f>
        <v>0</v>
      </c>
      <c r="P243" s="28">
        <f>SUMIF(Transactions!$K$19:$K$46,'Percentage Calc'!$E243,Transactions!O$19:O$46)</f>
        <v>0</v>
      </c>
      <c r="Q243" s="28">
        <f>SUMIF(Transactions!$K$19:$K$46,'Percentage Calc'!$E243,Transactions!P$19:P$46)</f>
        <v>0</v>
      </c>
      <c r="R243" s="28">
        <f t="shared" si="23"/>
        <v>0</v>
      </c>
      <c r="S243" s="28">
        <f t="shared" si="24"/>
        <v>0</v>
      </c>
    </row>
    <row r="244" spans="1:19" x14ac:dyDescent="0.35">
      <c r="A244" s="9"/>
      <c r="B244" s="32"/>
      <c r="C244" s="28">
        <f>IF(Check!$B$87=1,1,IF(R244&lt;1,0,1))</f>
        <v>1</v>
      </c>
      <c r="D244" s="28">
        <f t="shared" si="20"/>
        <v>1</v>
      </c>
      <c r="E244" s="32">
        <v>46068</v>
      </c>
      <c r="F244" s="28">
        <f>SUMIF(Transactions!$C$18:$C$46,'Percentage Calc'!$E244,Transactions!D$18:D$46)</f>
        <v>0</v>
      </c>
      <c r="G244" s="28">
        <f>SUMIF(Transactions!$C$18:$C$46,'Percentage Calc'!$E244,Transactions!E$18:E$46)</f>
        <v>0</v>
      </c>
      <c r="H244" s="28">
        <f>SUMIF(Transactions!$C$18:$C$46,'Percentage Calc'!$E244,Transactions!F$18:F$46)</f>
        <v>0</v>
      </c>
      <c r="I244" s="28">
        <f>SUMIF(Transactions!$C$18:$C$46,'Percentage Calc'!$E244,Transactions!G$18:G$46)</f>
        <v>0</v>
      </c>
      <c r="J244" s="28">
        <f t="shared" si="21"/>
        <v>0</v>
      </c>
      <c r="K244" s="28">
        <f t="shared" si="22"/>
        <v>0</v>
      </c>
      <c r="L244" s="32"/>
      <c r="M244" s="28">
        <f>SUMIF(Transactions!$K$19:$K$46,'Percentage Calc'!$E244,Transactions!L$19:L$46)</f>
        <v>0</v>
      </c>
      <c r="N244" s="28">
        <f>SUMIF(Transactions!$K$19:$K$46,'Percentage Calc'!$E244,Transactions!M$19:M$46)</f>
        <v>0</v>
      </c>
      <c r="O244" s="28">
        <f>SUMIF(Transactions!$K$19:$K$46,'Percentage Calc'!$E244,Transactions!N$19:N$46)</f>
        <v>0</v>
      </c>
      <c r="P244" s="28">
        <f>SUMIF(Transactions!$K$19:$K$46,'Percentage Calc'!$E244,Transactions!O$19:O$46)</f>
        <v>0</v>
      </c>
      <c r="Q244" s="28">
        <f>SUMIF(Transactions!$K$19:$K$46,'Percentage Calc'!$E244,Transactions!P$19:P$46)</f>
        <v>0</v>
      </c>
      <c r="R244" s="28">
        <f t="shared" si="23"/>
        <v>0</v>
      </c>
      <c r="S244" s="28">
        <f t="shared" si="24"/>
        <v>0</v>
      </c>
    </row>
    <row r="245" spans="1:19" x14ac:dyDescent="0.35">
      <c r="A245" s="9"/>
      <c r="B245" s="32"/>
      <c r="C245" s="28">
        <f>IF(Check!$B$87=1,1,IF(R245&lt;1,0,1))</f>
        <v>1</v>
      </c>
      <c r="D245" s="28">
        <f t="shared" si="20"/>
        <v>1</v>
      </c>
      <c r="E245" s="32">
        <v>46069</v>
      </c>
      <c r="F245" s="28">
        <f>SUMIF(Transactions!$C$18:$C$46,'Percentage Calc'!$E245,Transactions!D$18:D$46)</f>
        <v>0</v>
      </c>
      <c r="G245" s="28">
        <f>SUMIF(Transactions!$C$18:$C$46,'Percentage Calc'!$E245,Transactions!E$18:E$46)</f>
        <v>0</v>
      </c>
      <c r="H245" s="28">
        <f>SUMIF(Transactions!$C$18:$C$46,'Percentage Calc'!$E245,Transactions!F$18:F$46)</f>
        <v>0</v>
      </c>
      <c r="I245" s="28">
        <f>SUMIF(Transactions!$C$18:$C$46,'Percentage Calc'!$E245,Transactions!G$18:G$46)</f>
        <v>0</v>
      </c>
      <c r="J245" s="28">
        <f t="shared" si="21"/>
        <v>0</v>
      </c>
      <c r="K245" s="28">
        <f t="shared" si="22"/>
        <v>0</v>
      </c>
      <c r="L245" s="32"/>
      <c r="M245" s="28">
        <f>SUMIF(Transactions!$K$19:$K$46,'Percentage Calc'!$E245,Transactions!L$19:L$46)</f>
        <v>0</v>
      </c>
      <c r="N245" s="28">
        <f>SUMIF(Transactions!$K$19:$K$46,'Percentage Calc'!$E245,Transactions!M$19:M$46)</f>
        <v>0</v>
      </c>
      <c r="O245" s="28">
        <f>SUMIF(Transactions!$K$19:$K$46,'Percentage Calc'!$E245,Transactions!N$19:N$46)</f>
        <v>0</v>
      </c>
      <c r="P245" s="28">
        <f>SUMIF(Transactions!$K$19:$K$46,'Percentage Calc'!$E245,Transactions!O$19:O$46)</f>
        <v>0</v>
      </c>
      <c r="Q245" s="28">
        <f>SUMIF(Transactions!$K$19:$K$46,'Percentage Calc'!$E245,Transactions!P$19:P$46)</f>
        <v>0</v>
      </c>
      <c r="R245" s="28">
        <f t="shared" si="23"/>
        <v>0</v>
      </c>
      <c r="S245" s="28">
        <f t="shared" si="24"/>
        <v>0</v>
      </c>
    </row>
    <row r="246" spans="1:19" x14ac:dyDescent="0.35">
      <c r="A246" s="9"/>
      <c r="B246" s="32"/>
      <c r="C246" s="28">
        <f>IF(Check!$B$87=1,1,IF(R246&lt;1,0,1))</f>
        <v>1</v>
      </c>
      <c r="D246" s="28">
        <f t="shared" si="20"/>
        <v>1</v>
      </c>
      <c r="E246" s="32">
        <v>46070</v>
      </c>
      <c r="F246" s="28">
        <f>SUMIF(Transactions!$C$18:$C$46,'Percentage Calc'!$E246,Transactions!D$18:D$46)</f>
        <v>0</v>
      </c>
      <c r="G246" s="28">
        <f>SUMIF(Transactions!$C$18:$C$46,'Percentage Calc'!$E246,Transactions!E$18:E$46)</f>
        <v>0</v>
      </c>
      <c r="H246" s="28">
        <f>SUMIF(Transactions!$C$18:$C$46,'Percentage Calc'!$E246,Transactions!F$18:F$46)</f>
        <v>0</v>
      </c>
      <c r="I246" s="28">
        <f>SUMIF(Transactions!$C$18:$C$46,'Percentage Calc'!$E246,Transactions!G$18:G$46)</f>
        <v>0</v>
      </c>
      <c r="J246" s="28">
        <f t="shared" si="21"/>
        <v>0</v>
      </c>
      <c r="K246" s="28">
        <f t="shared" si="22"/>
        <v>0</v>
      </c>
      <c r="L246" s="32"/>
      <c r="M246" s="28">
        <f>SUMIF(Transactions!$K$19:$K$46,'Percentage Calc'!$E246,Transactions!L$19:L$46)</f>
        <v>0</v>
      </c>
      <c r="N246" s="28">
        <f>SUMIF(Transactions!$K$19:$K$46,'Percentage Calc'!$E246,Transactions!M$19:M$46)</f>
        <v>0</v>
      </c>
      <c r="O246" s="28">
        <f>SUMIF(Transactions!$K$19:$K$46,'Percentage Calc'!$E246,Transactions!N$19:N$46)</f>
        <v>0</v>
      </c>
      <c r="P246" s="28">
        <f>SUMIF(Transactions!$K$19:$K$46,'Percentage Calc'!$E246,Transactions!O$19:O$46)</f>
        <v>0</v>
      </c>
      <c r="Q246" s="28">
        <f>SUMIF(Transactions!$K$19:$K$46,'Percentage Calc'!$E246,Transactions!P$19:P$46)</f>
        <v>0</v>
      </c>
      <c r="R246" s="28">
        <f t="shared" si="23"/>
        <v>0</v>
      </c>
      <c r="S246" s="28">
        <f t="shared" si="24"/>
        <v>0</v>
      </c>
    </row>
    <row r="247" spans="1:19" x14ac:dyDescent="0.35">
      <c r="A247" s="9"/>
      <c r="B247" s="32"/>
      <c r="C247" s="28">
        <f>IF(Check!$B$87=1,1,IF(R247&lt;1,0,1))</f>
        <v>1</v>
      </c>
      <c r="D247" s="28">
        <f t="shared" si="20"/>
        <v>1</v>
      </c>
      <c r="E247" s="32">
        <v>46071</v>
      </c>
      <c r="F247" s="28">
        <f>SUMIF(Transactions!$C$18:$C$46,'Percentage Calc'!$E247,Transactions!D$18:D$46)</f>
        <v>0</v>
      </c>
      <c r="G247" s="28">
        <f>SUMIF(Transactions!$C$18:$C$46,'Percentage Calc'!$E247,Transactions!E$18:E$46)</f>
        <v>0</v>
      </c>
      <c r="H247" s="28">
        <f>SUMIF(Transactions!$C$18:$C$46,'Percentage Calc'!$E247,Transactions!F$18:F$46)</f>
        <v>0</v>
      </c>
      <c r="I247" s="28">
        <f>SUMIF(Transactions!$C$18:$C$46,'Percentage Calc'!$E247,Transactions!G$18:G$46)</f>
        <v>0</v>
      </c>
      <c r="J247" s="28">
        <f t="shared" si="21"/>
        <v>0</v>
      </c>
      <c r="K247" s="28">
        <f t="shared" si="22"/>
        <v>0</v>
      </c>
      <c r="L247" s="32"/>
      <c r="M247" s="28">
        <f>SUMIF(Transactions!$K$19:$K$46,'Percentage Calc'!$E247,Transactions!L$19:L$46)</f>
        <v>0</v>
      </c>
      <c r="N247" s="28">
        <f>SUMIF(Transactions!$K$19:$K$46,'Percentage Calc'!$E247,Transactions!M$19:M$46)</f>
        <v>0</v>
      </c>
      <c r="O247" s="28">
        <f>SUMIF(Transactions!$K$19:$K$46,'Percentage Calc'!$E247,Transactions!N$19:N$46)</f>
        <v>0</v>
      </c>
      <c r="P247" s="28">
        <f>SUMIF(Transactions!$K$19:$K$46,'Percentage Calc'!$E247,Transactions!O$19:O$46)</f>
        <v>0</v>
      </c>
      <c r="Q247" s="28">
        <f>SUMIF(Transactions!$K$19:$K$46,'Percentage Calc'!$E247,Transactions!P$19:P$46)</f>
        <v>0</v>
      </c>
      <c r="R247" s="28">
        <f t="shared" si="23"/>
        <v>0</v>
      </c>
      <c r="S247" s="28">
        <f t="shared" si="24"/>
        <v>0</v>
      </c>
    </row>
    <row r="248" spans="1:19" x14ac:dyDescent="0.35">
      <c r="A248" s="9"/>
      <c r="B248" s="32"/>
      <c r="C248" s="28">
        <f>IF(Check!$B$87=1,1,IF(R248&lt;1,0,1))</f>
        <v>1</v>
      </c>
      <c r="D248" s="28">
        <f t="shared" si="20"/>
        <v>1</v>
      </c>
      <c r="E248" s="32">
        <v>46072</v>
      </c>
      <c r="F248" s="28">
        <f>SUMIF(Transactions!$C$18:$C$46,'Percentage Calc'!$E248,Transactions!D$18:D$46)</f>
        <v>0</v>
      </c>
      <c r="G248" s="28">
        <f>SUMIF(Transactions!$C$18:$C$46,'Percentage Calc'!$E248,Transactions!E$18:E$46)</f>
        <v>0</v>
      </c>
      <c r="H248" s="28">
        <f>SUMIF(Transactions!$C$18:$C$46,'Percentage Calc'!$E248,Transactions!F$18:F$46)</f>
        <v>0</v>
      </c>
      <c r="I248" s="28">
        <f>SUMIF(Transactions!$C$18:$C$46,'Percentage Calc'!$E248,Transactions!G$18:G$46)</f>
        <v>0</v>
      </c>
      <c r="J248" s="28">
        <f t="shared" si="21"/>
        <v>0</v>
      </c>
      <c r="K248" s="28">
        <f t="shared" si="22"/>
        <v>0</v>
      </c>
      <c r="L248" s="32"/>
      <c r="M248" s="28">
        <f>SUMIF(Transactions!$K$19:$K$46,'Percentage Calc'!$E248,Transactions!L$19:L$46)</f>
        <v>0</v>
      </c>
      <c r="N248" s="28">
        <f>SUMIF(Transactions!$K$19:$K$46,'Percentage Calc'!$E248,Transactions!M$19:M$46)</f>
        <v>0</v>
      </c>
      <c r="O248" s="28">
        <f>SUMIF(Transactions!$K$19:$K$46,'Percentage Calc'!$E248,Transactions!N$19:N$46)</f>
        <v>0</v>
      </c>
      <c r="P248" s="28">
        <f>SUMIF(Transactions!$K$19:$K$46,'Percentage Calc'!$E248,Transactions!O$19:O$46)</f>
        <v>0</v>
      </c>
      <c r="Q248" s="28">
        <f>SUMIF(Transactions!$K$19:$K$46,'Percentage Calc'!$E248,Transactions!P$19:P$46)</f>
        <v>0</v>
      </c>
      <c r="R248" s="28">
        <f t="shared" si="23"/>
        <v>0</v>
      </c>
      <c r="S248" s="28">
        <f t="shared" si="24"/>
        <v>0</v>
      </c>
    </row>
    <row r="249" spans="1:19" x14ac:dyDescent="0.35">
      <c r="A249" s="9"/>
      <c r="B249" s="32"/>
      <c r="C249" s="28">
        <f>IF(Check!$B$87=1,1,IF(R249&lt;1,0,1))</f>
        <v>1</v>
      </c>
      <c r="D249" s="28">
        <f t="shared" si="20"/>
        <v>1</v>
      </c>
      <c r="E249" s="32">
        <v>46073</v>
      </c>
      <c r="F249" s="28">
        <f>SUMIF(Transactions!$C$18:$C$46,'Percentage Calc'!$E249,Transactions!D$18:D$46)</f>
        <v>0</v>
      </c>
      <c r="G249" s="28">
        <f>SUMIF(Transactions!$C$18:$C$46,'Percentage Calc'!$E249,Transactions!E$18:E$46)</f>
        <v>0</v>
      </c>
      <c r="H249" s="28">
        <f>SUMIF(Transactions!$C$18:$C$46,'Percentage Calc'!$E249,Transactions!F$18:F$46)</f>
        <v>0</v>
      </c>
      <c r="I249" s="28">
        <f>SUMIF(Transactions!$C$18:$C$46,'Percentage Calc'!$E249,Transactions!G$18:G$46)</f>
        <v>0</v>
      </c>
      <c r="J249" s="28">
        <f t="shared" si="21"/>
        <v>0</v>
      </c>
      <c r="K249" s="28">
        <f t="shared" si="22"/>
        <v>0</v>
      </c>
      <c r="L249" s="32"/>
      <c r="M249" s="28">
        <f>SUMIF(Transactions!$K$19:$K$46,'Percentage Calc'!$E249,Transactions!L$19:L$46)</f>
        <v>0</v>
      </c>
      <c r="N249" s="28">
        <f>SUMIF(Transactions!$K$19:$K$46,'Percentage Calc'!$E249,Transactions!M$19:M$46)</f>
        <v>0</v>
      </c>
      <c r="O249" s="28">
        <f>SUMIF(Transactions!$K$19:$K$46,'Percentage Calc'!$E249,Transactions!N$19:N$46)</f>
        <v>0</v>
      </c>
      <c r="P249" s="28">
        <f>SUMIF(Transactions!$K$19:$K$46,'Percentage Calc'!$E249,Transactions!O$19:O$46)</f>
        <v>0</v>
      </c>
      <c r="Q249" s="28">
        <f>SUMIF(Transactions!$K$19:$K$46,'Percentage Calc'!$E249,Transactions!P$19:P$46)</f>
        <v>0</v>
      </c>
      <c r="R249" s="28">
        <f t="shared" si="23"/>
        <v>0</v>
      </c>
      <c r="S249" s="28">
        <f t="shared" si="24"/>
        <v>0</v>
      </c>
    </row>
    <row r="250" spans="1:19" x14ac:dyDescent="0.35">
      <c r="A250" s="9"/>
      <c r="B250" s="32"/>
      <c r="C250" s="28">
        <f>IF(Check!$B$87=1,1,IF(R250&lt;1,0,1))</f>
        <v>1</v>
      </c>
      <c r="D250" s="28">
        <f t="shared" si="20"/>
        <v>1</v>
      </c>
      <c r="E250" s="32">
        <v>46074</v>
      </c>
      <c r="F250" s="28">
        <f>SUMIF(Transactions!$C$18:$C$46,'Percentage Calc'!$E250,Transactions!D$18:D$46)</f>
        <v>0</v>
      </c>
      <c r="G250" s="28">
        <f>SUMIF(Transactions!$C$18:$C$46,'Percentage Calc'!$E250,Transactions!E$18:E$46)</f>
        <v>0</v>
      </c>
      <c r="H250" s="28">
        <f>SUMIF(Transactions!$C$18:$C$46,'Percentage Calc'!$E250,Transactions!F$18:F$46)</f>
        <v>0</v>
      </c>
      <c r="I250" s="28">
        <f>SUMIF(Transactions!$C$18:$C$46,'Percentage Calc'!$E250,Transactions!G$18:G$46)</f>
        <v>0</v>
      </c>
      <c r="J250" s="28">
        <f t="shared" si="21"/>
        <v>0</v>
      </c>
      <c r="K250" s="28">
        <f t="shared" si="22"/>
        <v>0</v>
      </c>
      <c r="L250" s="32"/>
      <c r="M250" s="28">
        <f>SUMIF(Transactions!$K$19:$K$46,'Percentage Calc'!$E250,Transactions!L$19:L$46)</f>
        <v>0</v>
      </c>
      <c r="N250" s="28">
        <f>SUMIF(Transactions!$K$19:$K$46,'Percentage Calc'!$E250,Transactions!M$19:M$46)</f>
        <v>0</v>
      </c>
      <c r="O250" s="28">
        <f>SUMIF(Transactions!$K$19:$K$46,'Percentage Calc'!$E250,Transactions!N$19:N$46)</f>
        <v>0</v>
      </c>
      <c r="P250" s="28">
        <f>SUMIF(Transactions!$K$19:$K$46,'Percentage Calc'!$E250,Transactions!O$19:O$46)</f>
        <v>0</v>
      </c>
      <c r="Q250" s="28">
        <f>SUMIF(Transactions!$K$19:$K$46,'Percentage Calc'!$E250,Transactions!P$19:P$46)</f>
        <v>0</v>
      </c>
      <c r="R250" s="28">
        <f t="shared" si="23"/>
        <v>0</v>
      </c>
      <c r="S250" s="28">
        <f t="shared" si="24"/>
        <v>0</v>
      </c>
    </row>
    <row r="251" spans="1:19" x14ac:dyDescent="0.35">
      <c r="A251" s="9"/>
      <c r="B251" s="32"/>
      <c r="C251" s="28">
        <f>IF(Check!$B$87=1,1,IF(R251&lt;1,0,1))</f>
        <v>1</v>
      </c>
      <c r="D251" s="28">
        <f t="shared" si="20"/>
        <v>1</v>
      </c>
      <c r="E251" s="32">
        <v>46075</v>
      </c>
      <c r="F251" s="28">
        <f>SUMIF(Transactions!$C$18:$C$46,'Percentage Calc'!$E251,Transactions!D$18:D$46)</f>
        <v>0</v>
      </c>
      <c r="G251" s="28">
        <f>SUMIF(Transactions!$C$18:$C$46,'Percentage Calc'!$E251,Transactions!E$18:E$46)</f>
        <v>0</v>
      </c>
      <c r="H251" s="28">
        <f>SUMIF(Transactions!$C$18:$C$46,'Percentage Calc'!$E251,Transactions!F$18:F$46)</f>
        <v>0</v>
      </c>
      <c r="I251" s="28">
        <f>SUMIF(Transactions!$C$18:$C$46,'Percentage Calc'!$E251,Transactions!G$18:G$46)</f>
        <v>0</v>
      </c>
      <c r="J251" s="28">
        <f t="shared" si="21"/>
        <v>0</v>
      </c>
      <c r="K251" s="28">
        <f t="shared" si="22"/>
        <v>0</v>
      </c>
      <c r="L251" s="32"/>
      <c r="M251" s="28">
        <f>SUMIF(Transactions!$K$19:$K$46,'Percentage Calc'!$E251,Transactions!L$19:L$46)</f>
        <v>0</v>
      </c>
      <c r="N251" s="28">
        <f>SUMIF(Transactions!$K$19:$K$46,'Percentage Calc'!$E251,Transactions!M$19:M$46)</f>
        <v>0</v>
      </c>
      <c r="O251" s="28">
        <f>SUMIF(Transactions!$K$19:$K$46,'Percentage Calc'!$E251,Transactions!N$19:N$46)</f>
        <v>0</v>
      </c>
      <c r="P251" s="28">
        <f>SUMIF(Transactions!$K$19:$K$46,'Percentage Calc'!$E251,Transactions!O$19:O$46)</f>
        <v>0</v>
      </c>
      <c r="Q251" s="28">
        <f>SUMIF(Transactions!$K$19:$K$46,'Percentage Calc'!$E251,Transactions!P$19:P$46)</f>
        <v>0</v>
      </c>
      <c r="R251" s="28">
        <f t="shared" si="23"/>
        <v>0</v>
      </c>
      <c r="S251" s="28">
        <f t="shared" si="24"/>
        <v>0</v>
      </c>
    </row>
    <row r="252" spans="1:19" x14ac:dyDescent="0.35">
      <c r="A252" s="9"/>
      <c r="B252" s="32"/>
      <c r="C252" s="28">
        <f>IF(Check!$B$87=1,1,IF(R252&lt;1,0,1))</f>
        <v>1</v>
      </c>
      <c r="D252" s="28">
        <f t="shared" si="20"/>
        <v>1</v>
      </c>
      <c r="E252" s="32">
        <v>46076</v>
      </c>
      <c r="F252" s="28">
        <f>SUMIF(Transactions!$C$18:$C$46,'Percentage Calc'!$E252,Transactions!D$18:D$46)</f>
        <v>0</v>
      </c>
      <c r="G252" s="28">
        <f>SUMIF(Transactions!$C$18:$C$46,'Percentage Calc'!$E252,Transactions!E$18:E$46)</f>
        <v>0</v>
      </c>
      <c r="H252" s="28">
        <f>SUMIF(Transactions!$C$18:$C$46,'Percentage Calc'!$E252,Transactions!F$18:F$46)</f>
        <v>0</v>
      </c>
      <c r="I252" s="28">
        <f>SUMIF(Transactions!$C$18:$C$46,'Percentage Calc'!$E252,Transactions!G$18:G$46)</f>
        <v>0</v>
      </c>
      <c r="J252" s="28">
        <f t="shared" si="21"/>
        <v>0</v>
      </c>
      <c r="K252" s="28">
        <f t="shared" si="22"/>
        <v>0</v>
      </c>
      <c r="L252" s="32"/>
      <c r="M252" s="28">
        <f>SUMIF(Transactions!$K$19:$K$46,'Percentage Calc'!$E252,Transactions!L$19:L$46)</f>
        <v>0</v>
      </c>
      <c r="N252" s="28">
        <f>SUMIF(Transactions!$K$19:$K$46,'Percentage Calc'!$E252,Transactions!M$19:M$46)</f>
        <v>0</v>
      </c>
      <c r="O252" s="28">
        <f>SUMIF(Transactions!$K$19:$K$46,'Percentage Calc'!$E252,Transactions!N$19:N$46)</f>
        <v>0</v>
      </c>
      <c r="P252" s="28">
        <f>SUMIF(Transactions!$K$19:$K$46,'Percentage Calc'!$E252,Transactions!O$19:O$46)</f>
        <v>0</v>
      </c>
      <c r="Q252" s="28">
        <f>SUMIF(Transactions!$K$19:$K$46,'Percentage Calc'!$E252,Transactions!P$19:P$46)</f>
        <v>0</v>
      </c>
      <c r="R252" s="28">
        <f t="shared" si="23"/>
        <v>0</v>
      </c>
      <c r="S252" s="28">
        <f t="shared" si="24"/>
        <v>0</v>
      </c>
    </row>
    <row r="253" spans="1:19" x14ac:dyDescent="0.35">
      <c r="A253" s="9"/>
      <c r="B253" s="32"/>
      <c r="C253" s="28">
        <f>IF(Check!$B$87=1,1,IF(R253&lt;1,0,1))</f>
        <v>1</v>
      </c>
      <c r="D253" s="28">
        <f t="shared" si="20"/>
        <v>1</v>
      </c>
      <c r="E253" s="32">
        <v>46077</v>
      </c>
      <c r="F253" s="28">
        <f>SUMIF(Transactions!$C$18:$C$46,'Percentage Calc'!$E253,Transactions!D$18:D$46)</f>
        <v>0</v>
      </c>
      <c r="G253" s="28">
        <f>SUMIF(Transactions!$C$18:$C$46,'Percentage Calc'!$E253,Transactions!E$18:E$46)</f>
        <v>0</v>
      </c>
      <c r="H253" s="28">
        <f>SUMIF(Transactions!$C$18:$C$46,'Percentage Calc'!$E253,Transactions!F$18:F$46)</f>
        <v>0</v>
      </c>
      <c r="I253" s="28">
        <f>SUMIF(Transactions!$C$18:$C$46,'Percentage Calc'!$E253,Transactions!G$18:G$46)</f>
        <v>0</v>
      </c>
      <c r="J253" s="28">
        <f t="shared" si="21"/>
        <v>0</v>
      </c>
      <c r="K253" s="28">
        <f t="shared" si="22"/>
        <v>0</v>
      </c>
      <c r="L253" s="32"/>
      <c r="M253" s="28">
        <f>SUMIF(Transactions!$K$19:$K$46,'Percentage Calc'!$E253,Transactions!L$19:L$46)</f>
        <v>0</v>
      </c>
      <c r="N253" s="28">
        <f>SUMIF(Transactions!$K$19:$K$46,'Percentage Calc'!$E253,Transactions!M$19:M$46)</f>
        <v>0</v>
      </c>
      <c r="O253" s="28">
        <f>SUMIF(Transactions!$K$19:$K$46,'Percentage Calc'!$E253,Transactions!N$19:N$46)</f>
        <v>0</v>
      </c>
      <c r="P253" s="28">
        <f>SUMIF(Transactions!$K$19:$K$46,'Percentage Calc'!$E253,Transactions!O$19:O$46)</f>
        <v>0</v>
      </c>
      <c r="Q253" s="28">
        <f>SUMIF(Transactions!$K$19:$K$46,'Percentage Calc'!$E253,Transactions!P$19:P$46)</f>
        <v>0</v>
      </c>
      <c r="R253" s="28">
        <f t="shared" si="23"/>
        <v>0</v>
      </c>
      <c r="S253" s="28">
        <f t="shared" si="24"/>
        <v>0</v>
      </c>
    </row>
    <row r="254" spans="1:19" x14ac:dyDescent="0.35">
      <c r="A254" s="9"/>
      <c r="B254" s="32"/>
      <c r="C254" s="28">
        <f>IF(Check!$B$87=1,1,IF(R254&lt;1,0,1))</f>
        <v>1</v>
      </c>
      <c r="D254" s="28">
        <f t="shared" si="20"/>
        <v>1</v>
      </c>
      <c r="E254" s="32">
        <v>46078</v>
      </c>
      <c r="F254" s="28">
        <f>SUMIF(Transactions!$C$18:$C$46,'Percentage Calc'!$E254,Transactions!D$18:D$46)</f>
        <v>0</v>
      </c>
      <c r="G254" s="28">
        <f>SUMIF(Transactions!$C$18:$C$46,'Percentage Calc'!$E254,Transactions!E$18:E$46)</f>
        <v>0</v>
      </c>
      <c r="H254" s="28">
        <f>SUMIF(Transactions!$C$18:$C$46,'Percentage Calc'!$E254,Transactions!F$18:F$46)</f>
        <v>0</v>
      </c>
      <c r="I254" s="28">
        <f>SUMIF(Transactions!$C$18:$C$46,'Percentage Calc'!$E254,Transactions!G$18:G$46)</f>
        <v>0</v>
      </c>
      <c r="J254" s="28">
        <f t="shared" si="21"/>
        <v>0</v>
      </c>
      <c r="K254" s="28">
        <f t="shared" si="22"/>
        <v>0</v>
      </c>
      <c r="L254" s="32"/>
      <c r="M254" s="28">
        <f>SUMIF(Transactions!$K$19:$K$46,'Percentage Calc'!$E254,Transactions!L$19:L$46)</f>
        <v>0</v>
      </c>
      <c r="N254" s="28">
        <f>SUMIF(Transactions!$K$19:$K$46,'Percentage Calc'!$E254,Transactions!M$19:M$46)</f>
        <v>0</v>
      </c>
      <c r="O254" s="28">
        <f>SUMIF(Transactions!$K$19:$K$46,'Percentage Calc'!$E254,Transactions!N$19:N$46)</f>
        <v>0</v>
      </c>
      <c r="P254" s="28">
        <f>SUMIF(Transactions!$K$19:$K$46,'Percentage Calc'!$E254,Transactions!O$19:O$46)</f>
        <v>0</v>
      </c>
      <c r="Q254" s="28">
        <f>SUMIF(Transactions!$K$19:$K$46,'Percentage Calc'!$E254,Transactions!P$19:P$46)</f>
        <v>0</v>
      </c>
      <c r="R254" s="28">
        <f t="shared" si="23"/>
        <v>0</v>
      </c>
      <c r="S254" s="28">
        <f t="shared" si="24"/>
        <v>0</v>
      </c>
    </row>
    <row r="255" spans="1:19" x14ac:dyDescent="0.35">
      <c r="A255" s="9"/>
      <c r="B255" s="32"/>
      <c r="C255" s="28">
        <f>IF(Check!$B$87=1,1,IF(R255&lt;1,0,1))</f>
        <v>1</v>
      </c>
      <c r="D255" s="28">
        <f t="shared" si="20"/>
        <v>1</v>
      </c>
      <c r="E255" s="32">
        <v>46079</v>
      </c>
      <c r="F255" s="28">
        <f>SUMIF(Transactions!$C$18:$C$46,'Percentage Calc'!$E255,Transactions!D$18:D$46)</f>
        <v>0</v>
      </c>
      <c r="G255" s="28">
        <f>SUMIF(Transactions!$C$18:$C$46,'Percentage Calc'!$E255,Transactions!E$18:E$46)</f>
        <v>0</v>
      </c>
      <c r="H255" s="28">
        <f>SUMIF(Transactions!$C$18:$C$46,'Percentage Calc'!$E255,Transactions!F$18:F$46)</f>
        <v>0</v>
      </c>
      <c r="I255" s="28">
        <f>SUMIF(Transactions!$C$18:$C$46,'Percentage Calc'!$E255,Transactions!G$18:G$46)</f>
        <v>0</v>
      </c>
      <c r="J255" s="28">
        <f t="shared" si="21"/>
        <v>0</v>
      </c>
      <c r="K255" s="28">
        <f t="shared" si="22"/>
        <v>0</v>
      </c>
      <c r="L255" s="32"/>
      <c r="M255" s="28">
        <f>SUMIF(Transactions!$K$19:$K$46,'Percentage Calc'!$E255,Transactions!L$19:L$46)</f>
        <v>0</v>
      </c>
      <c r="N255" s="28">
        <f>SUMIF(Transactions!$K$19:$K$46,'Percentage Calc'!$E255,Transactions!M$19:M$46)</f>
        <v>0</v>
      </c>
      <c r="O255" s="28">
        <f>SUMIF(Transactions!$K$19:$K$46,'Percentage Calc'!$E255,Transactions!N$19:N$46)</f>
        <v>0</v>
      </c>
      <c r="P255" s="28">
        <f>SUMIF(Transactions!$K$19:$K$46,'Percentage Calc'!$E255,Transactions!O$19:O$46)</f>
        <v>0</v>
      </c>
      <c r="Q255" s="28">
        <f>SUMIF(Transactions!$K$19:$K$46,'Percentage Calc'!$E255,Transactions!P$19:P$46)</f>
        <v>0</v>
      </c>
      <c r="R255" s="28">
        <f t="shared" si="23"/>
        <v>0</v>
      </c>
      <c r="S255" s="28">
        <f t="shared" si="24"/>
        <v>0</v>
      </c>
    </row>
    <row r="256" spans="1:19" x14ac:dyDescent="0.35">
      <c r="A256" s="9"/>
      <c r="B256" s="32"/>
      <c r="C256" s="28">
        <f>IF(Check!$B$87=1,1,IF(R256&lt;1,0,1))</f>
        <v>1</v>
      </c>
      <c r="D256" s="28">
        <f t="shared" si="20"/>
        <v>1</v>
      </c>
      <c r="E256" s="32">
        <v>46080</v>
      </c>
      <c r="F256" s="28">
        <f>SUMIF(Transactions!$C$18:$C$46,'Percentage Calc'!$E256,Transactions!D$18:D$46)</f>
        <v>0</v>
      </c>
      <c r="G256" s="28">
        <f>SUMIF(Transactions!$C$18:$C$46,'Percentage Calc'!$E256,Transactions!E$18:E$46)</f>
        <v>0</v>
      </c>
      <c r="H256" s="28">
        <f>SUMIF(Transactions!$C$18:$C$46,'Percentage Calc'!$E256,Transactions!F$18:F$46)</f>
        <v>0</v>
      </c>
      <c r="I256" s="28">
        <f>SUMIF(Transactions!$C$18:$C$46,'Percentage Calc'!$E256,Transactions!G$18:G$46)</f>
        <v>0</v>
      </c>
      <c r="J256" s="28">
        <f t="shared" si="21"/>
        <v>0</v>
      </c>
      <c r="K256" s="28">
        <f t="shared" si="22"/>
        <v>0</v>
      </c>
      <c r="L256" s="32"/>
      <c r="M256" s="28">
        <f>SUMIF(Transactions!$K$19:$K$46,'Percentage Calc'!$E256,Transactions!L$19:L$46)</f>
        <v>0</v>
      </c>
      <c r="N256" s="28">
        <f>SUMIF(Transactions!$K$19:$K$46,'Percentage Calc'!$E256,Transactions!M$19:M$46)</f>
        <v>0</v>
      </c>
      <c r="O256" s="28">
        <f>SUMIF(Transactions!$K$19:$K$46,'Percentage Calc'!$E256,Transactions!N$19:N$46)</f>
        <v>0</v>
      </c>
      <c r="P256" s="28">
        <f>SUMIF(Transactions!$K$19:$K$46,'Percentage Calc'!$E256,Transactions!O$19:O$46)</f>
        <v>0</v>
      </c>
      <c r="Q256" s="28">
        <f>SUMIF(Transactions!$K$19:$K$46,'Percentage Calc'!$E256,Transactions!P$19:P$46)</f>
        <v>0</v>
      </c>
      <c r="R256" s="28">
        <f t="shared" si="23"/>
        <v>0</v>
      </c>
      <c r="S256" s="28">
        <f t="shared" si="24"/>
        <v>0</v>
      </c>
    </row>
    <row r="257" spans="1:19" x14ac:dyDescent="0.35">
      <c r="A257" s="9"/>
      <c r="B257" s="32"/>
      <c r="C257" s="28">
        <f>IF(Check!$B$87=1,1,IF(R257&lt;1,0,1))</f>
        <v>1</v>
      </c>
      <c r="D257" s="28">
        <f t="shared" si="20"/>
        <v>1</v>
      </c>
      <c r="E257" s="32">
        <v>46081</v>
      </c>
      <c r="F257" s="28">
        <f>SUMIF(Transactions!$C$18:$C$46,'Percentage Calc'!$E257,Transactions!D$18:D$46)</f>
        <v>0</v>
      </c>
      <c r="G257" s="28">
        <f>SUMIF(Transactions!$C$18:$C$46,'Percentage Calc'!$E257,Transactions!E$18:E$46)</f>
        <v>0</v>
      </c>
      <c r="H257" s="28">
        <f>SUMIF(Transactions!$C$18:$C$46,'Percentage Calc'!$E257,Transactions!F$18:F$46)</f>
        <v>0</v>
      </c>
      <c r="I257" s="28">
        <f>SUMIF(Transactions!$C$18:$C$46,'Percentage Calc'!$E257,Transactions!G$18:G$46)</f>
        <v>0</v>
      </c>
      <c r="J257" s="28">
        <f t="shared" si="21"/>
        <v>0</v>
      </c>
      <c r="K257" s="28">
        <f t="shared" si="22"/>
        <v>0</v>
      </c>
      <c r="L257" s="32"/>
      <c r="M257" s="28">
        <f>SUMIF(Transactions!$K$19:$K$46,'Percentage Calc'!$E257,Transactions!L$19:L$46)</f>
        <v>0</v>
      </c>
      <c r="N257" s="28">
        <f>SUMIF(Transactions!$K$19:$K$46,'Percentage Calc'!$E257,Transactions!M$19:M$46)</f>
        <v>0</v>
      </c>
      <c r="O257" s="28">
        <f>SUMIF(Transactions!$K$19:$K$46,'Percentage Calc'!$E257,Transactions!N$19:N$46)</f>
        <v>0</v>
      </c>
      <c r="P257" s="28">
        <f>SUMIF(Transactions!$K$19:$K$46,'Percentage Calc'!$E257,Transactions!O$19:O$46)</f>
        <v>0</v>
      </c>
      <c r="Q257" s="28">
        <f>SUMIF(Transactions!$K$19:$K$46,'Percentage Calc'!$E257,Transactions!P$19:P$46)</f>
        <v>0</v>
      </c>
      <c r="R257" s="28">
        <f t="shared" si="23"/>
        <v>0</v>
      </c>
      <c r="S257" s="28">
        <f t="shared" si="24"/>
        <v>0</v>
      </c>
    </row>
    <row r="258" spans="1:19" x14ac:dyDescent="0.35">
      <c r="A258" s="9"/>
      <c r="B258" s="32"/>
      <c r="C258" s="28">
        <f>IF(Check!$B$87=1,1,IF(R258&lt;1,0,1))</f>
        <v>1</v>
      </c>
      <c r="D258" s="28">
        <f t="shared" si="20"/>
        <v>1</v>
      </c>
      <c r="E258" s="32">
        <v>46082</v>
      </c>
      <c r="F258" s="28">
        <f>SUMIF(Transactions!$C$18:$C$46,'Percentage Calc'!$E258,Transactions!D$18:D$46)</f>
        <v>0</v>
      </c>
      <c r="G258" s="28">
        <f>SUMIF(Transactions!$C$18:$C$46,'Percentage Calc'!$E258,Transactions!E$18:E$46)</f>
        <v>0</v>
      </c>
      <c r="H258" s="28">
        <f>SUMIF(Transactions!$C$18:$C$46,'Percentage Calc'!$E258,Transactions!F$18:F$46)</f>
        <v>0</v>
      </c>
      <c r="I258" s="28">
        <f>SUMIF(Transactions!$C$18:$C$46,'Percentage Calc'!$E258,Transactions!G$18:G$46)</f>
        <v>0</v>
      </c>
      <c r="J258" s="28">
        <f t="shared" si="21"/>
        <v>0</v>
      </c>
      <c r="K258" s="28">
        <f t="shared" si="22"/>
        <v>0</v>
      </c>
      <c r="L258" s="32"/>
      <c r="M258" s="28">
        <f>SUMIF(Transactions!$K$19:$K$46,'Percentage Calc'!$E258,Transactions!L$19:L$46)</f>
        <v>0</v>
      </c>
      <c r="N258" s="28">
        <f>SUMIF(Transactions!$K$19:$K$46,'Percentage Calc'!$E258,Transactions!M$19:M$46)</f>
        <v>0</v>
      </c>
      <c r="O258" s="28">
        <f>SUMIF(Transactions!$K$19:$K$46,'Percentage Calc'!$E258,Transactions!N$19:N$46)</f>
        <v>0</v>
      </c>
      <c r="P258" s="28">
        <f>SUMIF(Transactions!$K$19:$K$46,'Percentage Calc'!$E258,Transactions!O$19:O$46)</f>
        <v>0</v>
      </c>
      <c r="Q258" s="28">
        <f>SUMIF(Transactions!$K$19:$K$46,'Percentage Calc'!$E258,Transactions!P$19:P$46)</f>
        <v>0</v>
      </c>
      <c r="R258" s="28">
        <f t="shared" si="23"/>
        <v>0</v>
      </c>
      <c r="S258" s="28">
        <f t="shared" si="24"/>
        <v>0</v>
      </c>
    </row>
    <row r="259" spans="1:19" x14ac:dyDescent="0.35">
      <c r="A259" s="9"/>
      <c r="B259" s="32"/>
      <c r="C259" s="28">
        <f>IF(Check!$B$87=1,1,IF(R259&lt;1,0,1))</f>
        <v>1</v>
      </c>
      <c r="D259" s="28">
        <f t="shared" si="20"/>
        <v>1</v>
      </c>
      <c r="E259" s="32">
        <v>46083</v>
      </c>
      <c r="F259" s="28">
        <f>SUMIF(Transactions!$C$18:$C$46,'Percentage Calc'!$E259,Transactions!D$18:D$46)</f>
        <v>0</v>
      </c>
      <c r="G259" s="28">
        <f>SUMIF(Transactions!$C$18:$C$46,'Percentage Calc'!$E259,Transactions!E$18:E$46)</f>
        <v>0</v>
      </c>
      <c r="H259" s="28">
        <f>SUMIF(Transactions!$C$18:$C$46,'Percentage Calc'!$E259,Transactions!F$18:F$46)</f>
        <v>0</v>
      </c>
      <c r="I259" s="28">
        <f>SUMIF(Transactions!$C$18:$C$46,'Percentage Calc'!$E259,Transactions!G$18:G$46)</f>
        <v>0</v>
      </c>
      <c r="J259" s="28">
        <f t="shared" si="21"/>
        <v>0</v>
      </c>
      <c r="K259" s="28">
        <f t="shared" si="22"/>
        <v>0</v>
      </c>
      <c r="L259" s="32"/>
      <c r="M259" s="28">
        <f>SUMIF(Transactions!$K$19:$K$46,'Percentage Calc'!$E259,Transactions!L$19:L$46)</f>
        <v>0</v>
      </c>
      <c r="N259" s="28">
        <f>SUMIF(Transactions!$K$19:$K$46,'Percentage Calc'!$E259,Transactions!M$19:M$46)</f>
        <v>0</v>
      </c>
      <c r="O259" s="28">
        <f>SUMIF(Transactions!$K$19:$K$46,'Percentage Calc'!$E259,Transactions!N$19:N$46)</f>
        <v>0</v>
      </c>
      <c r="P259" s="28">
        <f>SUMIF(Transactions!$K$19:$K$46,'Percentage Calc'!$E259,Transactions!O$19:O$46)</f>
        <v>0</v>
      </c>
      <c r="Q259" s="28">
        <f>SUMIF(Transactions!$K$19:$K$46,'Percentage Calc'!$E259,Transactions!P$19:P$46)</f>
        <v>0</v>
      </c>
      <c r="R259" s="28">
        <f t="shared" si="23"/>
        <v>0</v>
      </c>
      <c r="S259" s="28">
        <f t="shared" si="24"/>
        <v>0</v>
      </c>
    </row>
    <row r="260" spans="1:19" x14ac:dyDescent="0.35">
      <c r="A260" s="9"/>
      <c r="B260" s="32"/>
      <c r="C260" s="28">
        <f>IF(Check!$B$87=1,1,IF(R260&lt;1,0,1))</f>
        <v>1</v>
      </c>
      <c r="D260" s="28">
        <f t="shared" si="20"/>
        <v>1</v>
      </c>
      <c r="E260" s="32">
        <v>46084</v>
      </c>
      <c r="F260" s="28">
        <f>SUMIF(Transactions!$C$18:$C$46,'Percentage Calc'!$E260,Transactions!D$18:D$46)</f>
        <v>0</v>
      </c>
      <c r="G260" s="28">
        <f>SUMIF(Transactions!$C$18:$C$46,'Percentage Calc'!$E260,Transactions!E$18:E$46)</f>
        <v>0</v>
      </c>
      <c r="H260" s="28">
        <f>SUMIF(Transactions!$C$18:$C$46,'Percentage Calc'!$E260,Transactions!F$18:F$46)</f>
        <v>0</v>
      </c>
      <c r="I260" s="28">
        <f>SUMIF(Transactions!$C$18:$C$46,'Percentage Calc'!$E260,Transactions!G$18:G$46)</f>
        <v>0</v>
      </c>
      <c r="J260" s="28">
        <f t="shared" si="21"/>
        <v>0</v>
      </c>
      <c r="K260" s="28">
        <f t="shared" si="22"/>
        <v>0</v>
      </c>
      <c r="L260" s="32"/>
      <c r="M260" s="28">
        <f>SUMIF(Transactions!$K$19:$K$46,'Percentage Calc'!$E260,Transactions!L$19:L$46)</f>
        <v>0</v>
      </c>
      <c r="N260" s="28">
        <f>SUMIF(Transactions!$K$19:$K$46,'Percentage Calc'!$E260,Transactions!M$19:M$46)</f>
        <v>0</v>
      </c>
      <c r="O260" s="28">
        <f>SUMIF(Transactions!$K$19:$K$46,'Percentage Calc'!$E260,Transactions!N$19:N$46)</f>
        <v>0</v>
      </c>
      <c r="P260" s="28">
        <f>SUMIF(Transactions!$K$19:$K$46,'Percentage Calc'!$E260,Transactions!O$19:O$46)</f>
        <v>0</v>
      </c>
      <c r="Q260" s="28">
        <f>SUMIF(Transactions!$K$19:$K$46,'Percentage Calc'!$E260,Transactions!P$19:P$46)</f>
        <v>0</v>
      </c>
      <c r="R260" s="28">
        <f t="shared" si="23"/>
        <v>0</v>
      </c>
      <c r="S260" s="28">
        <f t="shared" si="24"/>
        <v>0</v>
      </c>
    </row>
    <row r="261" spans="1:19" x14ac:dyDescent="0.35">
      <c r="A261" s="9"/>
      <c r="B261" s="32"/>
      <c r="C261" s="28">
        <f>IF(Check!$B$87=1,1,IF(R261&lt;1,0,1))</f>
        <v>1</v>
      </c>
      <c r="D261" s="28">
        <f t="shared" si="20"/>
        <v>1</v>
      </c>
      <c r="E261" s="32">
        <v>46085</v>
      </c>
      <c r="F261" s="28">
        <f>SUMIF(Transactions!$C$18:$C$46,'Percentage Calc'!$E261,Transactions!D$18:D$46)</f>
        <v>0</v>
      </c>
      <c r="G261" s="28">
        <f>SUMIF(Transactions!$C$18:$C$46,'Percentage Calc'!$E261,Transactions!E$18:E$46)</f>
        <v>0</v>
      </c>
      <c r="H261" s="28">
        <f>SUMIF(Transactions!$C$18:$C$46,'Percentage Calc'!$E261,Transactions!F$18:F$46)</f>
        <v>0</v>
      </c>
      <c r="I261" s="28">
        <f>SUMIF(Transactions!$C$18:$C$46,'Percentage Calc'!$E261,Transactions!G$18:G$46)</f>
        <v>0</v>
      </c>
      <c r="J261" s="28">
        <f t="shared" si="21"/>
        <v>0</v>
      </c>
      <c r="K261" s="28">
        <f t="shared" si="22"/>
        <v>0</v>
      </c>
      <c r="L261" s="32"/>
      <c r="M261" s="28">
        <f>SUMIF(Transactions!$K$19:$K$46,'Percentage Calc'!$E261,Transactions!L$19:L$46)</f>
        <v>0</v>
      </c>
      <c r="N261" s="28">
        <f>SUMIF(Transactions!$K$19:$K$46,'Percentage Calc'!$E261,Transactions!M$19:M$46)</f>
        <v>0</v>
      </c>
      <c r="O261" s="28">
        <f>SUMIF(Transactions!$K$19:$K$46,'Percentage Calc'!$E261,Transactions!N$19:N$46)</f>
        <v>0</v>
      </c>
      <c r="P261" s="28">
        <f>SUMIF(Transactions!$K$19:$K$46,'Percentage Calc'!$E261,Transactions!O$19:O$46)</f>
        <v>0</v>
      </c>
      <c r="Q261" s="28">
        <f>SUMIF(Transactions!$K$19:$K$46,'Percentage Calc'!$E261,Transactions!P$19:P$46)</f>
        <v>0</v>
      </c>
      <c r="R261" s="28">
        <f t="shared" si="23"/>
        <v>0</v>
      </c>
      <c r="S261" s="28">
        <f t="shared" si="24"/>
        <v>0</v>
      </c>
    </row>
    <row r="262" spans="1:19" x14ac:dyDescent="0.35">
      <c r="A262" s="9"/>
      <c r="B262" s="32"/>
      <c r="C262" s="28">
        <f>IF(Check!$B$87=1,1,IF(R262&lt;1,0,1))</f>
        <v>1</v>
      </c>
      <c r="D262" s="28">
        <f t="shared" si="20"/>
        <v>1</v>
      </c>
      <c r="E262" s="32">
        <v>46086</v>
      </c>
      <c r="F262" s="28">
        <f>SUMIF(Transactions!$C$18:$C$46,'Percentage Calc'!$E262,Transactions!D$18:D$46)</f>
        <v>0</v>
      </c>
      <c r="G262" s="28">
        <f>SUMIF(Transactions!$C$18:$C$46,'Percentage Calc'!$E262,Transactions!E$18:E$46)</f>
        <v>0</v>
      </c>
      <c r="H262" s="28">
        <f>SUMIF(Transactions!$C$18:$C$46,'Percentage Calc'!$E262,Transactions!F$18:F$46)</f>
        <v>0</v>
      </c>
      <c r="I262" s="28">
        <f>SUMIF(Transactions!$C$18:$C$46,'Percentage Calc'!$E262,Transactions!G$18:G$46)</f>
        <v>0</v>
      </c>
      <c r="J262" s="28">
        <f t="shared" si="21"/>
        <v>0</v>
      </c>
      <c r="K262" s="28">
        <f t="shared" si="22"/>
        <v>0</v>
      </c>
      <c r="L262" s="32"/>
      <c r="M262" s="28">
        <f>SUMIF(Transactions!$K$19:$K$46,'Percentage Calc'!$E262,Transactions!L$19:L$46)</f>
        <v>0</v>
      </c>
      <c r="N262" s="28">
        <f>SUMIF(Transactions!$K$19:$K$46,'Percentage Calc'!$E262,Transactions!M$19:M$46)</f>
        <v>0</v>
      </c>
      <c r="O262" s="28">
        <f>SUMIF(Transactions!$K$19:$K$46,'Percentage Calc'!$E262,Transactions!N$19:N$46)</f>
        <v>0</v>
      </c>
      <c r="P262" s="28">
        <f>SUMIF(Transactions!$K$19:$K$46,'Percentage Calc'!$E262,Transactions!O$19:O$46)</f>
        <v>0</v>
      </c>
      <c r="Q262" s="28">
        <f>SUMIF(Transactions!$K$19:$K$46,'Percentage Calc'!$E262,Transactions!P$19:P$46)</f>
        <v>0</v>
      </c>
      <c r="R262" s="28">
        <f t="shared" si="23"/>
        <v>0</v>
      </c>
      <c r="S262" s="28">
        <f t="shared" si="24"/>
        <v>0</v>
      </c>
    </row>
    <row r="263" spans="1:19" x14ac:dyDescent="0.35">
      <c r="A263" s="9"/>
      <c r="B263" s="32"/>
      <c r="C263" s="28">
        <f>IF(Check!$B$87=1,1,IF(R263&lt;1,0,1))</f>
        <v>1</v>
      </c>
      <c r="D263" s="28">
        <f t="shared" si="20"/>
        <v>1</v>
      </c>
      <c r="E263" s="32">
        <v>46087</v>
      </c>
      <c r="F263" s="28">
        <f>SUMIF(Transactions!$C$18:$C$46,'Percentage Calc'!$E263,Transactions!D$18:D$46)</f>
        <v>0</v>
      </c>
      <c r="G263" s="28">
        <f>SUMIF(Transactions!$C$18:$C$46,'Percentage Calc'!$E263,Transactions!E$18:E$46)</f>
        <v>0</v>
      </c>
      <c r="H263" s="28">
        <f>SUMIF(Transactions!$C$18:$C$46,'Percentage Calc'!$E263,Transactions!F$18:F$46)</f>
        <v>0</v>
      </c>
      <c r="I263" s="28">
        <f>SUMIF(Transactions!$C$18:$C$46,'Percentage Calc'!$E263,Transactions!G$18:G$46)</f>
        <v>0</v>
      </c>
      <c r="J263" s="28">
        <f t="shared" si="21"/>
        <v>0</v>
      </c>
      <c r="K263" s="28">
        <f t="shared" si="22"/>
        <v>0</v>
      </c>
      <c r="L263" s="32"/>
      <c r="M263" s="28">
        <f>SUMIF(Transactions!$K$19:$K$46,'Percentage Calc'!$E263,Transactions!L$19:L$46)</f>
        <v>0</v>
      </c>
      <c r="N263" s="28">
        <f>SUMIF(Transactions!$K$19:$K$46,'Percentage Calc'!$E263,Transactions!M$19:M$46)</f>
        <v>0</v>
      </c>
      <c r="O263" s="28">
        <f>SUMIF(Transactions!$K$19:$K$46,'Percentage Calc'!$E263,Transactions!N$19:N$46)</f>
        <v>0</v>
      </c>
      <c r="P263" s="28">
        <f>SUMIF(Transactions!$K$19:$K$46,'Percentage Calc'!$E263,Transactions!O$19:O$46)</f>
        <v>0</v>
      </c>
      <c r="Q263" s="28">
        <f>SUMIF(Transactions!$K$19:$K$46,'Percentage Calc'!$E263,Transactions!P$19:P$46)</f>
        <v>0</v>
      </c>
      <c r="R263" s="28">
        <f t="shared" si="23"/>
        <v>0</v>
      </c>
      <c r="S263" s="28">
        <f t="shared" si="24"/>
        <v>0</v>
      </c>
    </row>
    <row r="264" spans="1:19" x14ac:dyDescent="0.35">
      <c r="A264" s="9"/>
      <c r="B264" s="32"/>
      <c r="C264" s="28">
        <f>IF(Check!$B$87=1,1,IF(R264&lt;1,0,1))</f>
        <v>1</v>
      </c>
      <c r="D264" s="28">
        <f t="shared" si="20"/>
        <v>1</v>
      </c>
      <c r="E264" s="32">
        <v>46088</v>
      </c>
      <c r="F264" s="28">
        <f>SUMIF(Transactions!$C$18:$C$46,'Percentage Calc'!$E264,Transactions!D$18:D$46)</f>
        <v>0</v>
      </c>
      <c r="G264" s="28">
        <f>SUMIF(Transactions!$C$18:$C$46,'Percentage Calc'!$E264,Transactions!E$18:E$46)</f>
        <v>0</v>
      </c>
      <c r="H264" s="28">
        <f>SUMIF(Transactions!$C$18:$C$46,'Percentage Calc'!$E264,Transactions!F$18:F$46)</f>
        <v>0</v>
      </c>
      <c r="I264" s="28">
        <f>SUMIF(Transactions!$C$18:$C$46,'Percentage Calc'!$E264,Transactions!G$18:G$46)</f>
        <v>0</v>
      </c>
      <c r="J264" s="28">
        <f t="shared" si="21"/>
        <v>0</v>
      </c>
      <c r="K264" s="28">
        <f t="shared" si="22"/>
        <v>0</v>
      </c>
      <c r="L264" s="32"/>
      <c r="M264" s="28">
        <f>SUMIF(Transactions!$K$19:$K$46,'Percentage Calc'!$E264,Transactions!L$19:L$46)</f>
        <v>0</v>
      </c>
      <c r="N264" s="28">
        <f>SUMIF(Transactions!$K$19:$K$46,'Percentage Calc'!$E264,Transactions!M$19:M$46)</f>
        <v>0</v>
      </c>
      <c r="O264" s="28">
        <f>SUMIF(Transactions!$K$19:$K$46,'Percentage Calc'!$E264,Transactions!N$19:N$46)</f>
        <v>0</v>
      </c>
      <c r="P264" s="28">
        <f>SUMIF(Transactions!$K$19:$K$46,'Percentage Calc'!$E264,Transactions!O$19:O$46)</f>
        <v>0</v>
      </c>
      <c r="Q264" s="28">
        <f>SUMIF(Transactions!$K$19:$K$46,'Percentage Calc'!$E264,Transactions!P$19:P$46)</f>
        <v>0</v>
      </c>
      <c r="R264" s="28">
        <f t="shared" si="23"/>
        <v>0</v>
      </c>
      <c r="S264" s="28">
        <f t="shared" si="24"/>
        <v>0</v>
      </c>
    </row>
    <row r="265" spans="1:19" x14ac:dyDescent="0.35">
      <c r="A265" s="9"/>
      <c r="B265" s="32"/>
      <c r="C265" s="28">
        <f>IF(Check!$B$87=1,1,IF(R265&lt;1,0,1))</f>
        <v>1</v>
      </c>
      <c r="D265" s="28">
        <f t="shared" si="20"/>
        <v>1</v>
      </c>
      <c r="E265" s="32">
        <v>46089</v>
      </c>
      <c r="F265" s="28">
        <f>SUMIF(Transactions!$C$18:$C$46,'Percentage Calc'!$E265,Transactions!D$18:D$46)</f>
        <v>0</v>
      </c>
      <c r="G265" s="28">
        <f>SUMIF(Transactions!$C$18:$C$46,'Percentage Calc'!$E265,Transactions!E$18:E$46)</f>
        <v>0</v>
      </c>
      <c r="H265" s="28">
        <f>SUMIF(Transactions!$C$18:$C$46,'Percentage Calc'!$E265,Transactions!F$18:F$46)</f>
        <v>0</v>
      </c>
      <c r="I265" s="28">
        <f>SUMIF(Transactions!$C$18:$C$46,'Percentage Calc'!$E265,Transactions!G$18:G$46)</f>
        <v>0</v>
      </c>
      <c r="J265" s="28">
        <f t="shared" si="21"/>
        <v>0</v>
      </c>
      <c r="K265" s="28">
        <f t="shared" si="22"/>
        <v>0</v>
      </c>
      <c r="L265" s="32"/>
      <c r="M265" s="28">
        <f>SUMIF(Transactions!$K$19:$K$46,'Percentage Calc'!$E265,Transactions!L$19:L$46)</f>
        <v>0</v>
      </c>
      <c r="N265" s="28">
        <f>SUMIF(Transactions!$K$19:$K$46,'Percentage Calc'!$E265,Transactions!M$19:M$46)</f>
        <v>0</v>
      </c>
      <c r="O265" s="28">
        <f>SUMIF(Transactions!$K$19:$K$46,'Percentage Calc'!$E265,Transactions!N$19:N$46)</f>
        <v>0</v>
      </c>
      <c r="P265" s="28">
        <f>SUMIF(Transactions!$K$19:$K$46,'Percentage Calc'!$E265,Transactions!O$19:O$46)</f>
        <v>0</v>
      </c>
      <c r="Q265" s="28">
        <f>SUMIF(Transactions!$K$19:$K$46,'Percentage Calc'!$E265,Transactions!P$19:P$46)</f>
        <v>0</v>
      </c>
      <c r="R265" s="28">
        <f t="shared" si="23"/>
        <v>0</v>
      </c>
      <c r="S265" s="28">
        <f t="shared" si="24"/>
        <v>0</v>
      </c>
    </row>
    <row r="266" spans="1:19" x14ac:dyDescent="0.35">
      <c r="A266" s="9"/>
      <c r="B266" s="32"/>
      <c r="C266" s="28">
        <f>IF(Check!$B$87=1,1,IF(R266&lt;1,0,1))</f>
        <v>1</v>
      </c>
      <c r="D266" s="28">
        <f t="shared" si="20"/>
        <v>1</v>
      </c>
      <c r="E266" s="32">
        <v>46090</v>
      </c>
      <c r="F266" s="28">
        <f>SUMIF(Transactions!$C$18:$C$46,'Percentage Calc'!$E266,Transactions!D$18:D$46)</f>
        <v>0</v>
      </c>
      <c r="G266" s="28">
        <f>SUMIF(Transactions!$C$18:$C$46,'Percentage Calc'!$E266,Transactions!E$18:E$46)</f>
        <v>0</v>
      </c>
      <c r="H266" s="28">
        <f>SUMIF(Transactions!$C$18:$C$46,'Percentage Calc'!$E266,Transactions!F$18:F$46)</f>
        <v>0</v>
      </c>
      <c r="I266" s="28">
        <f>SUMIF(Transactions!$C$18:$C$46,'Percentage Calc'!$E266,Transactions!G$18:G$46)</f>
        <v>0</v>
      </c>
      <c r="J266" s="28">
        <f t="shared" si="21"/>
        <v>0</v>
      </c>
      <c r="K266" s="28">
        <f t="shared" si="22"/>
        <v>0</v>
      </c>
      <c r="L266" s="32"/>
      <c r="M266" s="28">
        <f>SUMIF(Transactions!$K$19:$K$46,'Percentage Calc'!$E266,Transactions!L$19:L$46)</f>
        <v>0</v>
      </c>
      <c r="N266" s="28">
        <f>SUMIF(Transactions!$K$19:$K$46,'Percentage Calc'!$E266,Transactions!M$19:M$46)</f>
        <v>0</v>
      </c>
      <c r="O266" s="28">
        <f>SUMIF(Transactions!$K$19:$K$46,'Percentage Calc'!$E266,Transactions!N$19:N$46)</f>
        <v>0</v>
      </c>
      <c r="P266" s="28">
        <f>SUMIF(Transactions!$K$19:$K$46,'Percentage Calc'!$E266,Transactions!O$19:O$46)</f>
        <v>0</v>
      </c>
      <c r="Q266" s="28">
        <f>SUMIF(Transactions!$K$19:$K$46,'Percentage Calc'!$E266,Transactions!P$19:P$46)</f>
        <v>0</v>
      </c>
      <c r="R266" s="28">
        <f t="shared" si="23"/>
        <v>0</v>
      </c>
      <c r="S266" s="28">
        <f t="shared" si="24"/>
        <v>0</v>
      </c>
    </row>
    <row r="267" spans="1:19" x14ac:dyDescent="0.35">
      <c r="A267" s="9"/>
      <c r="B267" s="32"/>
      <c r="C267" s="28">
        <f>IF(Check!$B$87=1,1,IF(R267&lt;1,0,1))</f>
        <v>1</v>
      </c>
      <c r="D267" s="28">
        <f t="shared" si="20"/>
        <v>1</v>
      </c>
      <c r="E267" s="32">
        <v>46091</v>
      </c>
      <c r="F267" s="28">
        <f>SUMIF(Transactions!$C$18:$C$46,'Percentage Calc'!$E267,Transactions!D$18:D$46)</f>
        <v>0</v>
      </c>
      <c r="G267" s="28">
        <f>SUMIF(Transactions!$C$18:$C$46,'Percentage Calc'!$E267,Transactions!E$18:E$46)</f>
        <v>0</v>
      </c>
      <c r="H267" s="28">
        <f>SUMIF(Transactions!$C$18:$C$46,'Percentage Calc'!$E267,Transactions!F$18:F$46)</f>
        <v>0</v>
      </c>
      <c r="I267" s="28">
        <f>SUMIF(Transactions!$C$18:$C$46,'Percentage Calc'!$E267,Transactions!G$18:G$46)</f>
        <v>0</v>
      </c>
      <c r="J267" s="28">
        <f t="shared" si="21"/>
        <v>0</v>
      </c>
      <c r="K267" s="28">
        <f t="shared" si="22"/>
        <v>0</v>
      </c>
      <c r="L267" s="32"/>
      <c r="M267" s="28">
        <f>SUMIF(Transactions!$K$19:$K$46,'Percentage Calc'!$E267,Transactions!L$19:L$46)</f>
        <v>0</v>
      </c>
      <c r="N267" s="28">
        <f>SUMIF(Transactions!$K$19:$K$46,'Percentage Calc'!$E267,Transactions!M$19:M$46)</f>
        <v>0</v>
      </c>
      <c r="O267" s="28">
        <f>SUMIF(Transactions!$K$19:$K$46,'Percentage Calc'!$E267,Transactions!N$19:N$46)</f>
        <v>0</v>
      </c>
      <c r="P267" s="28">
        <f>SUMIF(Transactions!$K$19:$K$46,'Percentage Calc'!$E267,Transactions!O$19:O$46)</f>
        <v>0</v>
      </c>
      <c r="Q267" s="28">
        <f>SUMIF(Transactions!$K$19:$K$46,'Percentage Calc'!$E267,Transactions!P$19:P$46)</f>
        <v>0</v>
      </c>
      <c r="R267" s="28">
        <f t="shared" si="23"/>
        <v>0</v>
      </c>
      <c r="S267" s="28">
        <f t="shared" si="24"/>
        <v>0</v>
      </c>
    </row>
    <row r="268" spans="1:19" x14ac:dyDescent="0.35">
      <c r="A268" s="9"/>
      <c r="B268" s="32"/>
      <c r="C268" s="28">
        <f>IF(Check!$B$87=1,1,IF(R268&lt;1,0,1))</f>
        <v>1</v>
      </c>
      <c r="D268" s="28">
        <f t="shared" si="20"/>
        <v>1</v>
      </c>
      <c r="E268" s="32">
        <v>46092</v>
      </c>
      <c r="F268" s="28">
        <f>SUMIF(Transactions!$C$18:$C$46,'Percentage Calc'!$E268,Transactions!D$18:D$46)</f>
        <v>0</v>
      </c>
      <c r="G268" s="28">
        <f>SUMIF(Transactions!$C$18:$C$46,'Percentage Calc'!$E268,Transactions!E$18:E$46)</f>
        <v>0</v>
      </c>
      <c r="H268" s="28">
        <f>SUMIF(Transactions!$C$18:$C$46,'Percentage Calc'!$E268,Transactions!F$18:F$46)</f>
        <v>0</v>
      </c>
      <c r="I268" s="28">
        <f>SUMIF(Transactions!$C$18:$C$46,'Percentage Calc'!$E268,Transactions!G$18:G$46)</f>
        <v>0</v>
      </c>
      <c r="J268" s="28">
        <f t="shared" si="21"/>
        <v>0</v>
      </c>
      <c r="K268" s="28">
        <f t="shared" si="22"/>
        <v>0</v>
      </c>
      <c r="L268" s="32"/>
      <c r="M268" s="28">
        <f>SUMIF(Transactions!$K$19:$K$46,'Percentage Calc'!$E268,Transactions!L$19:L$46)</f>
        <v>0</v>
      </c>
      <c r="N268" s="28">
        <f>SUMIF(Transactions!$K$19:$K$46,'Percentage Calc'!$E268,Transactions!M$19:M$46)</f>
        <v>0</v>
      </c>
      <c r="O268" s="28">
        <f>SUMIF(Transactions!$K$19:$K$46,'Percentage Calc'!$E268,Transactions!N$19:N$46)</f>
        <v>0</v>
      </c>
      <c r="P268" s="28">
        <f>SUMIF(Transactions!$K$19:$K$46,'Percentage Calc'!$E268,Transactions!O$19:O$46)</f>
        <v>0</v>
      </c>
      <c r="Q268" s="28">
        <f>SUMIF(Transactions!$K$19:$K$46,'Percentage Calc'!$E268,Transactions!P$19:P$46)</f>
        <v>0</v>
      </c>
      <c r="R268" s="28">
        <f t="shared" si="23"/>
        <v>0</v>
      </c>
      <c r="S268" s="28">
        <f t="shared" si="24"/>
        <v>0</v>
      </c>
    </row>
    <row r="269" spans="1:19" x14ac:dyDescent="0.35">
      <c r="A269" s="9"/>
      <c r="B269" s="32"/>
      <c r="C269" s="28">
        <f>IF(Check!$B$87=1,1,IF(R269&lt;1,0,1))</f>
        <v>1</v>
      </c>
      <c r="D269" s="28">
        <f t="shared" si="20"/>
        <v>1</v>
      </c>
      <c r="E269" s="32">
        <v>46093</v>
      </c>
      <c r="F269" s="28">
        <f>SUMIF(Transactions!$C$18:$C$46,'Percentage Calc'!$E269,Transactions!D$18:D$46)</f>
        <v>0</v>
      </c>
      <c r="G269" s="28">
        <f>SUMIF(Transactions!$C$18:$C$46,'Percentage Calc'!$E269,Transactions!E$18:E$46)</f>
        <v>0</v>
      </c>
      <c r="H269" s="28">
        <f>SUMIF(Transactions!$C$18:$C$46,'Percentage Calc'!$E269,Transactions!F$18:F$46)</f>
        <v>0</v>
      </c>
      <c r="I269" s="28">
        <f>SUMIF(Transactions!$C$18:$C$46,'Percentage Calc'!$E269,Transactions!G$18:G$46)</f>
        <v>0</v>
      </c>
      <c r="J269" s="28">
        <f t="shared" si="21"/>
        <v>0</v>
      </c>
      <c r="K269" s="28">
        <f t="shared" si="22"/>
        <v>0</v>
      </c>
      <c r="L269" s="32"/>
      <c r="M269" s="28">
        <f>SUMIF(Transactions!$K$19:$K$46,'Percentage Calc'!$E269,Transactions!L$19:L$46)</f>
        <v>0</v>
      </c>
      <c r="N269" s="28">
        <f>SUMIF(Transactions!$K$19:$K$46,'Percentage Calc'!$E269,Transactions!M$19:M$46)</f>
        <v>0</v>
      </c>
      <c r="O269" s="28">
        <f>SUMIF(Transactions!$K$19:$K$46,'Percentage Calc'!$E269,Transactions!N$19:N$46)</f>
        <v>0</v>
      </c>
      <c r="P269" s="28">
        <f>SUMIF(Transactions!$K$19:$K$46,'Percentage Calc'!$E269,Transactions!O$19:O$46)</f>
        <v>0</v>
      </c>
      <c r="Q269" s="28">
        <f>SUMIF(Transactions!$K$19:$K$46,'Percentage Calc'!$E269,Transactions!P$19:P$46)</f>
        <v>0</v>
      </c>
      <c r="R269" s="28">
        <f t="shared" si="23"/>
        <v>0</v>
      </c>
      <c r="S269" s="28">
        <f t="shared" si="24"/>
        <v>0</v>
      </c>
    </row>
    <row r="270" spans="1:19" x14ac:dyDescent="0.35">
      <c r="A270" s="9"/>
      <c r="B270" s="32"/>
      <c r="C270" s="28">
        <f>IF(Check!$B$87=1,1,IF(R270&lt;1,0,1))</f>
        <v>1</v>
      </c>
      <c r="D270" s="28">
        <f t="shared" si="20"/>
        <v>1</v>
      </c>
      <c r="E270" s="32">
        <v>46094</v>
      </c>
      <c r="F270" s="28">
        <f>SUMIF(Transactions!$C$18:$C$46,'Percentage Calc'!$E270,Transactions!D$18:D$46)</f>
        <v>0</v>
      </c>
      <c r="G270" s="28">
        <f>SUMIF(Transactions!$C$18:$C$46,'Percentage Calc'!$E270,Transactions!E$18:E$46)</f>
        <v>0</v>
      </c>
      <c r="H270" s="28">
        <f>SUMIF(Transactions!$C$18:$C$46,'Percentage Calc'!$E270,Transactions!F$18:F$46)</f>
        <v>0</v>
      </c>
      <c r="I270" s="28">
        <f>SUMIF(Transactions!$C$18:$C$46,'Percentage Calc'!$E270,Transactions!G$18:G$46)</f>
        <v>0</v>
      </c>
      <c r="J270" s="28">
        <f t="shared" si="21"/>
        <v>0</v>
      </c>
      <c r="K270" s="28">
        <f t="shared" si="22"/>
        <v>0</v>
      </c>
      <c r="L270" s="32"/>
      <c r="M270" s="28">
        <f>SUMIF(Transactions!$K$19:$K$46,'Percentage Calc'!$E270,Transactions!L$19:L$46)</f>
        <v>0</v>
      </c>
      <c r="N270" s="28">
        <f>SUMIF(Transactions!$K$19:$K$46,'Percentage Calc'!$E270,Transactions!M$19:M$46)</f>
        <v>0</v>
      </c>
      <c r="O270" s="28">
        <f>SUMIF(Transactions!$K$19:$K$46,'Percentage Calc'!$E270,Transactions!N$19:N$46)</f>
        <v>0</v>
      </c>
      <c r="P270" s="28">
        <f>SUMIF(Transactions!$K$19:$K$46,'Percentage Calc'!$E270,Transactions!O$19:O$46)</f>
        <v>0</v>
      </c>
      <c r="Q270" s="28">
        <f>SUMIF(Transactions!$K$19:$K$46,'Percentage Calc'!$E270,Transactions!P$19:P$46)</f>
        <v>0</v>
      </c>
      <c r="R270" s="28">
        <f t="shared" si="23"/>
        <v>0</v>
      </c>
      <c r="S270" s="28">
        <f t="shared" si="24"/>
        <v>0</v>
      </c>
    </row>
    <row r="271" spans="1:19" x14ac:dyDescent="0.35">
      <c r="A271" s="9"/>
      <c r="B271" s="32"/>
      <c r="C271" s="28">
        <f>IF(Check!$B$87=1,1,IF(R271&lt;1,0,1))</f>
        <v>1</v>
      </c>
      <c r="D271" s="28">
        <f t="shared" si="20"/>
        <v>1</v>
      </c>
      <c r="E271" s="32">
        <v>46095</v>
      </c>
      <c r="F271" s="28">
        <f>SUMIF(Transactions!$C$18:$C$46,'Percentage Calc'!$E271,Transactions!D$18:D$46)</f>
        <v>0</v>
      </c>
      <c r="G271" s="28">
        <f>SUMIF(Transactions!$C$18:$C$46,'Percentage Calc'!$E271,Transactions!E$18:E$46)</f>
        <v>0</v>
      </c>
      <c r="H271" s="28">
        <f>SUMIF(Transactions!$C$18:$C$46,'Percentage Calc'!$E271,Transactions!F$18:F$46)</f>
        <v>0</v>
      </c>
      <c r="I271" s="28">
        <f>SUMIF(Transactions!$C$18:$C$46,'Percentage Calc'!$E271,Transactions!G$18:G$46)</f>
        <v>0</v>
      </c>
      <c r="J271" s="28">
        <f t="shared" si="21"/>
        <v>0</v>
      </c>
      <c r="K271" s="28">
        <f t="shared" si="22"/>
        <v>0</v>
      </c>
      <c r="L271" s="32"/>
      <c r="M271" s="28">
        <f>SUMIF(Transactions!$K$19:$K$46,'Percentage Calc'!$E271,Transactions!L$19:L$46)</f>
        <v>0</v>
      </c>
      <c r="N271" s="28">
        <f>SUMIF(Transactions!$K$19:$K$46,'Percentage Calc'!$E271,Transactions!M$19:M$46)</f>
        <v>0</v>
      </c>
      <c r="O271" s="28">
        <f>SUMIF(Transactions!$K$19:$K$46,'Percentage Calc'!$E271,Transactions!N$19:N$46)</f>
        <v>0</v>
      </c>
      <c r="P271" s="28">
        <f>SUMIF(Transactions!$K$19:$K$46,'Percentage Calc'!$E271,Transactions!O$19:O$46)</f>
        <v>0</v>
      </c>
      <c r="Q271" s="28">
        <f>SUMIF(Transactions!$K$19:$K$46,'Percentage Calc'!$E271,Transactions!P$19:P$46)</f>
        <v>0</v>
      </c>
      <c r="R271" s="28">
        <f t="shared" si="23"/>
        <v>0</v>
      </c>
      <c r="S271" s="28">
        <f t="shared" si="24"/>
        <v>0</v>
      </c>
    </row>
    <row r="272" spans="1:19" x14ac:dyDescent="0.35">
      <c r="A272" s="9"/>
      <c r="B272" s="32"/>
      <c r="C272" s="28">
        <f>IF(Check!$B$87=1,1,IF(R272&lt;1,0,1))</f>
        <v>1</v>
      </c>
      <c r="D272" s="28">
        <f t="shared" si="20"/>
        <v>1</v>
      </c>
      <c r="E272" s="32">
        <v>46096</v>
      </c>
      <c r="F272" s="28">
        <f>SUMIF(Transactions!$C$18:$C$46,'Percentage Calc'!$E272,Transactions!D$18:D$46)</f>
        <v>0</v>
      </c>
      <c r="G272" s="28">
        <f>SUMIF(Transactions!$C$18:$C$46,'Percentage Calc'!$E272,Transactions!E$18:E$46)</f>
        <v>0</v>
      </c>
      <c r="H272" s="28">
        <f>SUMIF(Transactions!$C$18:$C$46,'Percentage Calc'!$E272,Transactions!F$18:F$46)</f>
        <v>0</v>
      </c>
      <c r="I272" s="28">
        <f>SUMIF(Transactions!$C$18:$C$46,'Percentage Calc'!$E272,Transactions!G$18:G$46)</f>
        <v>0</v>
      </c>
      <c r="J272" s="28">
        <f t="shared" si="21"/>
        <v>0</v>
      </c>
      <c r="K272" s="28">
        <f t="shared" si="22"/>
        <v>0</v>
      </c>
      <c r="L272" s="32"/>
      <c r="M272" s="28">
        <f>SUMIF(Transactions!$K$19:$K$46,'Percentage Calc'!$E272,Transactions!L$19:L$46)</f>
        <v>0</v>
      </c>
      <c r="N272" s="28">
        <f>SUMIF(Transactions!$K$19:$K$46,'Percentage Calc'!$E272,Transactions!M$19:M$46)</f>
        <v>0</v>
      </c>
      <c r="O272" s="28">
        <f>SUMIF(Transactions!$K$19:$K$46,'Percentage Calc'!$E272,Transactions!N$19:N$46)</f>
        <v>0</v>
      </c>
      <c r="P272" s="28">
        <f>SUMIF(Transactions!$K$19:$K$46,'Percentage Calc'!$E272,Transactions!O$19:O$46)</f>
        <v>0</v>
      </c>
      <c r="Q272" s="28">
        <f>SUMIF(Transactions!$K$19:$K$46,'Percentage Calc'!$E272,Transactions!P$19:P$46)</f>
        <v>0</v>
      </c>
      <c r="R272" s="28">
        <f t="shared" si="23"/>
        <v>0</v>
      </c>
      <c r="S272" s="28">
        <f t="shared" si="24"/>
        <v>0</v>
      </c>
    </row>
    <row r="273" spans="1:19" x14ac:dyDescent="0.35">
      <c r="A273" s="9"/>
      <c r="B273" s="32"/>
      <c r="C273" s="28">
        <f>IF(Check!$B$87=1,1,IF(R273&lt;1,0,1))</f>
        <v>1</v>
      </c>
      <c r="D273" s="28">
        <f t="shared" ref="D273:D336" si="25">IF(C273&lt;&gt;C272,D272+1,D272)</f>
        <v>1</v>
      </c>
      <c r="E273" s="32">
        <v>46097</v>
      </c>
      <c r="F273" s="28">
        <f>SUMIF(Transactions!$C$18:$C$46,'Percentage Calc'!$E273,Transactions!D$18:D$46)</f>
        <v>0</v>
      </c>
      <c r="G273" s="28">
        <f>SUMIF(Transactions!$C$18:$C$46,'Percentage Calc'!$E273,Transactions!E$18:E$46)</f>
        <v>0</v>
      </c>
      <c r="H273" s="28">
        <f>SUMIF(Transactions!$C$18:$C$46,'Percentage Calc'!$E273,Transactions!F$18:F$46)</f>
        <v>0</v>
      </c>
      <c r="I273" s="28">
        <f>SUMIF(Transactions!$C$18:$C$46,'Percentage Calc'!$E273,Transactions!G$18:G$46)</f>
        <v>0</v>
      </c>
      <c r="J273" s="28">
        <f t="shared" si="21"/>
        <v>0</v>
      </c>
      <c r="K273" s="28">
        <f t="shared" si="22"/>
        <v>0</v>
      </c>
      <c r="L273" s="32"/>
      <c r="M273" s="28">
        <f>SUMIF(Transactions!$K$19:$K$46,'Percentage Calc'!$E273,Transactions!L$19:L$46)</f>
        <v>0</v>
      </c>
      <c r="N273" s="28">
        <f>SUMIF(Transactions!$K$19:$K$46,'Percentage Calc'!$E273,Transactions!M$19:M$46)</f>
        <v>0</v>
      </c>
      <c r="O273" s="28">
        <f>SUMIF(Transactions!$K$19:$K$46,'Percentage Calc'!$E273,Transactions!N$19:N$46)</f>
        <v>0</v>
      </c>
      <c r="P273" s="28">
        <f>SUMIF(Transactions!$K$19:$K$46,'Percentage Calc'!$E273,Transactions!O$19:O$46)</f>
        <v>0</v>
      </c>
      <c r="Q273" s="28">
        <f>SUMIF(Transactions!$K$19:$K$46,'Percentage Calc'!$E273,Transactions!P$19:P$46)</f>
        <v>0</v>
      </c>
      <c r="R273" s="28">
        <f t="shared" si="23"/>
        <v>0</v>
      </c>
      <c r="S273" s="28">
        <f t="shared" si="24"/>
        <v>0</v>
      </c>
    </row>
    <row r="274" spans="1:19" x14ac:dyDescent="0.35">
      <c r="A274" s="9"/>
      <c r="B274" s="32"/>
      <c r="C274" s="28">
        <f>IF(Check!$B$87=1,1,IF(R274&lt;1,0,1))</f>
        <v>1</v>
      </c>
      <c r="D274" s="28">
        <f t="shared" si="25"/>
        <v>1</v>
      </c>
      <c r="E274" s="32">
        <v>46098</v>
      </c>
      <c r="F274" s="28">
        <f>SUMIF(Transactions!$C$18:$C$46,'Percentage Calc'!$E274,Transactions!D$18:D$46)</f>
        <v>0</v>
      </c>
      <c r="G274" s="28">
        <f>SUMIF(Transactions!$C$18:$C$46,'Percentage Calc'!$E274,Transactions!E$18:E$46)</f>
        <v>0</v>
      </c>
      <c r="H274" s="28">
        <f>SUMIF(Transactions!$C$18:$C$46,'Percentage Calc'!$E274,Transactions!F$18:F$46)</f>
        <v>0</v>
      </c>
      <c r="I274" s="28">
        <f>SUMIF(Transactions!$C$18:$C$46,'Percentage Calc'!$E274,Transactions!G$18:G$46)</f>
        <v>0</v>
      </c>
      <c r="J274" s="28">
        <f t="shared" si="21"/>
        <v>0</v>
      </c>
      <c r="K274" s="28">
        <f t="shared" si="22"/>
        <v>0</v>
      </c>
      <c r="L274" s="32"/>
      <c r="M274" s="28">
        <f>SUMIF(Transactions!$K$19:$K$46,'Percentage Calc'!$E274,Transactions!L$19:L$46)</f>
        <v>0</v>
      </c>
      <c r="N274" s="28">
        <f>SUMIF(Transactions!$K$19:$K$46,'Percentage Calc'!$E274,Transactions!M$19:M$46)</f>
        <v>0</v>
      </c>
      <c r="O274" s="28">
        <f>SUMIF(Transactions!$K$19:$K$46,'Percentage Calc'!$E274,Transactions!N$19:N$46)</f>
        <v>0</v>
      </c>
      <c r="P274" s="28">
        <f>SUMIF(Transactions!$K$19:$K$46,'Percentage Calc'!$E274,Transactions!O$19:O$46)</f>
        <v>0</v>
      </c>
      <c r="Q274" s="28">
        <f>SUMIF(Transactions!$K$19:$K$46,'Percentage Calc'!$E274,Transactions!P$19:P$46)</f>
        <v>0</v>
      </c>
      <c r="R274" s="28">
        <f t="shared" si="23"/>
        <v>0</v>
      </c>
      <c r="S274" s="28">
        <f t="shared" si="24"/>
        <v>0</v>
      </c>
    </row>
    <row r="275" spans="1:19" x14ac:dyDescent="0.35">
      <c r="A275" s="9"/>
      <c r="B275" s="32"/>
      <c r="C275" s="28">
        <f>IF(Check!$B$87=1,1,IF(R275&lt;1,0,1))</f>
        <v>1</v>
      </c>
      <c r="D275" s="28">
        <f t="shared" si="25"/>
        <v>1</v>
      </c>
      <c r="E275" s="32">
        <v>46099</v>
      </c>
      <c r="F275" s="28">
        <f>SUMIF(Transactions!$C$18:$C$46,'Percentage Calc'!$E275,Transactions!D$18:D$46)</f>
        <v>0</v>
      </c>
      <c r="G275" s="28">
        <f>SUMIF(Transactions!$C$18:$C$46,'Percentage Calc'!$E275,Transactions!E$18:E$46)</f>
        <v>0</v>
      </c>
      <c r="H275" s="28">
        <f>SUMIF(Transactions!$C$18:$C$46,'Percentage Calc'!$E275,Transactions!F$18:F$46)</f>
        <v>0</v>
      </c>
      <c r="I275" s="28">
        <f>SUMIF(Transactions!$C$18:$C$46,'Percentage Calc'!$E275,Transactions!G$18:G$46)</f>
        <v>0</v>
      </c>
      <c r="J275" s="28">
        <f t="shared" si="21"/>
        <v>0</v>
      </c>
      <c r="K275" s="28">
        <f t="shared" si="22"/>
        <v>0</v>
      </c>
      <c r="L275" s="32"/>
      <c r="M275" s="28">
        <f>SUMIF(Transactions!$K$19:$K$46,'Percentage Calc'!$E275,Transactions!L$19:L$46)</f>
        <v>0</v>
      </c>
      <c r="N275" s="28">
        <f>SUMIF(Transactions!$K$19:$K$46,'Percentage Calc'!$E275,Transactions!M$19:M$46)</f>
        <v>0</v>
      </c>
      <c r="O275" s="28">
        <f>SUMIF(Transactions!$K$19:$K$46,'Percentage Calc'!$E275,Transactions!N$19:N$46)</f>
        <v>0</v>
      </c>
      <c r="P275" s="28">
        <f>SUMIF(Transactions!$K$19:$K$46,'Percentage Calc'!$E275,Transactions!O$19:O$46)</f>
        <v>0</v>
      </c>
      <c r="Q275" s="28">
        <f>SUMIF(Transactions!$K$19:$K$46,'Percentage Calc'!$E275,Transactions!P$19:P$46)</f>
        <v>0</v>
      </c>
      <c r="R275" s="28">
        <f t="shared" si="23"/>
        <v>0</v>
      </c>
      <c r="S275" s="28">
        <f t="shared" si="24"/>
        <v>0</v>
      </c>
    </row>
    <row r="276" spans="1:19" x14ac:dyDescent="0.35">
      <c r="A276" s="9"/>
      <c r="B276" s="32"/>
      <c r="C276" s="28">
        <f>IF(Check!$B$87=1,1,IF(R276&lt;1,0,1))</f>
        <v>1</v>
      </c>
      <c r="D276" s="28">
        <f t="shared" si="25"/>
        <v>1</v>
      </c>
      <c r="E276" s="32">
        <v>46100</v>
      </c>
      <c r="F276" s="28">
        <f>SUMIF(Transactions!$C$18:$C$46,'Percentage Calc'!$E276,Transactions!D$18:D$46)</f>
        <v>0</v>
      </c>
      <c r="G276" s="28">
        <f>SUMIF(Transactions!$C$18:$C$46,'Percentage Calc'!$E276,Transactions!E$18:E$46)</f>
        <v>0</v>
      </c>
      <c r="H276" s="28">
        <f>SUMIF(Transactions!$C$18:$C$46,'Percentage Calc'!$E276,Transactions!F$18:F$46)</f>
        <v>0</v>
      </c>
      <c r="I276" s="28">
        <f>SUMIF(Transactions!$C$18:$C$46,'Percentage Calc'!$E276,Transactions!G$18:G$46)</f>
        <v>0</v>
      </c>
      <c r="J276" s="28">
        <f t="shared" si="21"/>
        <v>0</v>
      </c>
      <c r="K276" s="28">
        <f t="shared" si="22"/>
        <v>0</v>
      </c>
      <c r="L276" s="32"/>
      <c r="M276" s="28">
        <f>SUMIF(Transactions!$K$19:$K$46,'Percentage Calc'!$E276,Transactions!L$19:L$46)</f>
        <v>0</v>
      </c>
      <c r="N276" s="28">
        <f>SUMIF(Transactions!$K$19:$K$46,'Percentage Calc'!$E276,Transactions!M$19:M$46)</f>
        <v>0</v>
      </c>
      <c r="O276" s="28">
        <f>SUMIF(Transactions!$K$19:$K$46,'Percentage Calc'!$E276,Transactions!N$19:N$46)</f>
        <v>0</v>
      </c>
      <c r="P276" s="28">
        <f>SUMIF(Transactions!$K$19:$K$46,'Percentage Calc'!$E276,Transactions!O$19:O$46)</f>
        <v>0</v>
      </c>
      <c r="Q276" s="28">
        <f>SUMIF(Transactions!$K$19:$K$46,'Percentage Calc'!$E276,Transactions!P$19:P$46)</f>
        <v>0</v>
      </c>
      <c r="R276" s="28">
        <f t="shared" si="23"/>
        <v>0</v>
      </c>
      <c r="S276" s="28">
        <f t="shared" si="24"/>
        <v>0</v>
      </c>
    </row>
    <row r="277" spans="1:19" x14ac:dyDescent="0.35">
      <c r="A277" s="9"/>
      <c r="B277" s="32"/>
      <c r="C277" s="28">
        <f>IF(Check!$B$87=1,1,IF(R277&lt;1,0,1))</f>
        <v>1</v>
      </c>
      <c r="D277" s="28">
        <f t="shared" si="25"/>
        <v>1</v>
      </c>
      <c r="E277" s="32">
        <v>46101</v>
      </c>
      <c r="F277" s="28">
        <f>SUMIF(Transactions!$C$18:$C$46,'Percentage Calc'!$E277,Transactions!D$18:D$46)</f>
        <v>0</v>
      </c>
      <c r="G277" s="28">
        <f>SUMIF(Transactions!$C$18:$C$46,'Percentage Calc'!$E277,Transactions!E$18:E$46)</f>
        <v>0</v>
      </c>
      <c r="H277" s="28">
        <f>SUMIF(Transactions!$C$18:$C$46,'Percentage Calc'!$E277,Transactions!F$18:F$46)</f>
        <v>0</v>
      </c>
      <c r="I277" s="28">
        <f>SUMIF(Transactions!$C$18:$C$46,'Percentage Calc'!$E277,Transactions!G$18:G$46)</f>
        <v>0</v>
      </c>
      <c r="J277" s="28">
        <f t="shared" si="21"/>
        <v>0</v>
      </c>
      <c r="K277" s="28">
        <f t="shared" si="22"/>
        <v>0</v>
      </c>
      <c r="L277" s="32"/>
      <c r="M277" s="28">
        <f>SUMIF(Transactions!$K$19:$K$46,'Percentage Calc'!$E277,Transactions!L$19:L$46)</f>
        <v>0</v>
      </c>
      <c r="N277" s="28">
        <f>SUMIF(Transactions!$K$19:$K$46,'Percentage Calc'!$E277,Transactions!M$19:M$46)</f>
        <v>0</v>
      </c>
      <c r="O277" s="28">
        <f>SUMIF(Transactions!$K$19:$K$46,'Percentage Calc'!$E277,Transactions!N$19:N$46)</f>
        <v>0</v>
      </c>
      <c r="P277" s="28">
        <f>SUMIF(Transactions!$K$19:$K$46,'Percentage Calc'!$E277,Transactions!O$19:O$46)</f>
        <v>0</v>
      </c>
      <c r="Q277" s="28">
        <f>SUMIF(Transactions!$K$19:$K$46,'Percentage Calc'!$E277,Transactions!P$19:P$46)</f>
        <v>0</v>
      </c>
      <c r="R277" s="28">
        <f t="shared" si="23"/>
        <v>0</v>
      </c>
      <c r="S277" s="28">
        <f t="shared" si="24"/>
        <v>0</v>
      </c>
    </row>
    <row r="278" spans="1:19" x14ac:dyDescent="0.35">
      <c r="A278" s="9"/>
      <c r="B278" s="32"/>
      <c r="C278" s="28">
        <f>IF(Check!$B$87=1,1,IF(R278&lt;1,0,1))</f>
        <v>1</v>
      </c>
      <c r="D278" s="28">
        <f t="shared" si="25"/>
        <v>1</v>
      </c>
      <c r="E278" s="32">
        <v>46102</v>
      </c>
      <c r="F278" s="28">
        <f>SUMIF(Transactions!$C$18:$C$46,'Percentage Calc'!$E278,Transactions!D$18:D$46)</f>
        <v>0</v>
      </c>
      <c r="G278" s="28">
        <f>SUMIF(Transactions!$C$18:$C$46,'Percentage Calc'!$E278,Transactions!E$18:E$46)</f>
        <v>0</v>
      </c>
      <c r="H278" s="28">
        <f>SUMIF(Transactions!$C$18:$C$46,'Percentage Calc'!$E278,Transactions!F$18:F$46)</f>
        <v>0</v>
      </c>
      <c r="I278" s="28">
        <f>SUMIF(Transactions!$C$18:$C$46,'Percentage Calc'!$E278,Transactions!G$18:G$46)</f>
        <v>0</v>
      </c>
      <c r="J278" s="28">
        <f t="shared" si="21"/>
        <v>0</v>
      </c>
      <c r="K278" s="28">
        <f t="shared" si="22"/>
        <v>0</v>
      </c>
      <c r="L278" s="32"/>
      <c r="M278" s="28">
        <f>SUMIF(Transactions!$K$19:$K$46,'Percentage Calc'!$E278,Transactions!L$19:L$46)</f>
        <v>0</v>
      </c>
      <c r="N278" s="28">
        <f>SUMIF(Transactions!$K$19:$K$46,'Percentage Calc'!$E278,Transactions!M$19:M$46)</f>
        <v>0</v>
      </c>
      <c r="O278" s="28">
        <f>SUMIF(Transactions!$K$19:$K$46,'Percentage Calc'!$E278,Transactions!N$19:N$46)</f>
        <v>0</v>
      </c>
      <c r="P278" s="28">
        <f>SUMIF(Transactions!$K$19:$K$46,'Percentage Calc'!$E278,Transactions!O$19:O$46)</f>
        <v>0</v>
      </c>
      <c r="Q278" s="28">
        <f>SUMIF(Transactions!$K$19:$K$46,'Percentage Calc'!$E278,Transactions!P$19:P$46)</f>
        <v>0</v>
      </c>
      <c r="R278" s="28">
        <f t="shared" si="23"/>
        <v>0</v>
      </c>
      <c r="S278" s="28">
        <f t="shared" si="24"/>
        <v>0</v>
      </c>
    </row>
    <row r="279" spans="1:19" x14ac:dyDescent="0.35">
      <c r="A279" s="9"/>
      <c r="B279" s="32"/>
      <c r="C279" s="28">
        <f>IF(Check!$B$87=1,1,IF(R279&lt;1,0,1))</f>
        <v>1</v>
      </c>
      <c r="D279" s="28">
        <f t="shared" si="25"/>
        <v>1</v>
      </c>
      <c r="E279" s="32">
        <v>46103</v>
      </c>
      <c r="F279" s="28">
        <f>SUMIF(Transactions!$C$18:$C$46,'Percentage Calc'!$E279,Transactions!D$18:D$46)</f>
        <v>0</v>
      </c>
      <c r="G279" s="28">
        <f>SUMIF(Transactions!$C$18:$C$46,'Percentage Calc'!$E279,Transactions!E$18:E$46)</f>
        <v>0</v>
      </c>
      <c r="H279" s="28">
        <f>SUMIF(Transactions!$C$18:$C$46,'Percentage Calc'!$E279,Transactions!F$18:F$46)</f>
        <v>0</v>
      </c>
      <c r="I279" s="28">
        <f>SUMIF(Transactions!$C$18:$C$46,'Percentage Calc'!$E279,Transactions!G$18:G$46)</f>
        <v>0</v>
      </c>
      <c r="J279" s="28">
        <f t="shared" si="21"/>
        <v>0</v>
      </c>
      <c r="K279" s="28">
        <f t="shared" si="22"/>
        <v>0</v>
      </c>
      <c r="L279" s="32"/>
      <c r="M279" s="28">
        <f>SUMIF(Transactions!$K$19:$K$46,'Percentage Calc'!$E279,Transactions!L$19:L$46)</f>
        <v>0</v>
      </c>
      <c r="N279" s="28">
        <f>SUMIF(Transactions!$K$19:$K$46,'Percentage Calc'!$E279,Transactions!M$19:M$46)</f>
        <v>0</v>
      </c>
      <c r="O279" s="28">
        <f>SUMIF(Transactions!$K$19:$K$46,'Percentage Calc'!$E279,Transactions!N$19:N$46)</f>
        <v>0</v>
      </c>
      <c r="P279" s="28">
        <f>SUMIF(Transactions!$K$19:$K$46,'Percentage Calc'!$E279,Transactions!O$19:O$46)</f>
        <v>0</v>
      </c>
      <c r="Q279" s="28">
        <f>SUMIF(Transactions!$K$19:$K$46,'Percentage Calc'!$E279,Transactions!P$19:P$46)</f>
        <v>0</v>
      </c>
      <c r="R279" s="28">
        <f t="shared" si="23"/>
        <v>0</v>
      </c>
      <c r="S279" s="28">
        <f t="shared" si="24"/>
        <v>0</v>
      </c>
    </row>
    <row r="280" spans="1:19" x14ac:dyDescent="0.35">
      <c r="A280" s="9"/>
      <c r="B280" s="32"/>
      <c r="C280" s="28">
        <f>IF(Check!$B$87=1,1,IF(R280&lt;1,0,1))</f>
        <v>1</v>
      </c>
      <c r="D280" s="28">
        <f t="shared" si="25"/>
        <v>1</v>
      </c>
      <c r="E280" s="32">
        <v>46104</v>
      </c>
      <c r="F280" s="28">
        <f>SUMIF(Transactions!$C$18:$C$46,'Percentage Calc'!$E280,Transactions!D$18:D$46)</f>
        <v>0</v>
      </c>
      <c r="G280" s="28">
        <f>SUMIF(Transactions!$C$18:$C$46,'Percentage Calc'!$E280,Transactions!E$18:E$46)</f>
        <v>0</v>
      </c>
      <c r="H280" s="28">
        <f>SUMIF(Transactions!$C$18:$C$46,'Percentage Calc'!$E280,Transactions!F$18:F$46)</f>
        <v>0</v>
      </c>
      <c r="I280" s="28">
        <f>SUMIF(Transactions!$C$18:$C$46,'Percentage Calc'!$E280,Transactions!G$18:G$46)</f>
        <v>0</v>
      </c>
      <c r="J280" s="28">
        <f t="shared" si="21"/>
        <v>0</v>
      </c>
      <c r="K280" s="28">
        <f t="shared" si="22"/>
        <v>0</v>
      </c>
      <c r="L280" s="32"/>
      <c r="M280" s="28">
        <f>SUMIF(Transactions!$K$19:$K$46,'Percentage Calc'!$E280,Transactions!L$19:L$46)</f>
        <v>0</v>
      </c>
      <c r="N280" s="28">
        <f>SUMIF(Transactions!$K$19:$K$46,'Percentage Calc'!$E280,Transactions!M$19:M$46)</f>
        <v>0</v>
      </c>
      <c r="O280" s="28">
        <f>SUMIF(Transactions!$K$19:$K$46,'Percentage Calc'!$E280,Transactions!N$19:N$46)</f>
        <v>0</v>
      </c>
      <c r="P280" s="28">
        <f>SUMIF(Transactions!$K$19:$K$46,'Percentage Calc'!$E280,Transactions!O$19:O$46)</f>
        <v>0</v>
      </c>
      <c r="Q280" s="28">
        <f>SUMIF(Transactions!$K$19:$K$46,'Percentage Calc'!$E280,Transactions!P$19:P$46)</f>
        <v>0</v>
      </c>
      <c r="R280" s="28">
        <f t="shared" si="23"/>
        <v>0</v>
      </c>
      <c r="S280" s="28">
        <f t="shared" si="24"/>
        <v>0</v>
      </c>
    </row>
    <row r="281" spans="1:19" x14ac:dyDescent="0.35">
      <c r="A281" s="9"/>
      <c r="B281" s="32"/>
      <c r="C281" s="28">
        <f>IF(Check!$B$87=1,1,IF(R281&lt;1,0,1))</f>
        <v>1</v>
      </c>
      <c r="D281" s="28">
        <f t="shared" si="25"/>
        <v>1</v>
      </c>
      <c r="E281" s="32">
        <v>46105</v>
      </c>
      <c r="F281" s="28">
        <f>SUMIF(Transactions!$C$18:$C$46,'Percentage Calc'!$E281,Transactions!D$18:D$46)</f>
        <v>0</v>
      </c>
      <c r="G281" s="28">
        <f>SUMIF(Transactions!$C$18:$C$46,'Percentage Calc'!$E281,Transactions!E$18:E$46)</f>
        <v>0</v>
      </c>
      <c r="H281" s="28">
        <f>SUMIF(Transactions!$C$18:$C$46,'Percentage Calc'!$E281,Transactions!F$18:F$46)</f>
        <v>0</v>
      </c>
      <c r="I281" s="28">
        <f>SUMIF(Transactions!$C$18:$C$46,'Percentage Calc'!$E281,Transactions!G$18:G$46)</f>
        <v>0</v>
      </c>
      <c r="J281" s="28">
        <f t="shared" si="21"/>
        <v>0</v>
      </c>
      <c r="K281" s="28">
        <f t="shared" si="22"/>
        <v>0</v>
      </c>
      <c r="L281" s="32"/>
      <c r="M281" s="28">
        <f>SUMIF(Transactions!$K$19:$K$46,'Percentage Calc'!$E281,Transactions!L$19:L$46)</f>
        <v>0</v>
      </c>
      <c r="N281" s="28">
        <f>SUMIF(Transactions!$K$19:$K$46,'Percentage Calc'!$E281,Transactions!M$19:M$46)</f>
        <v>0</v>
      </c>
      <c r="O281" s="28">
        <f>SUMIF(Transactions!$K$19:$K$46,'Percentage Calc'!$E281,Transactions!N$19:N$46)</f>
        <v>0</v>
      </c>
      <c r="P281" s="28">
        <f>SUMIF(Transactions!$K$19:$K$46,'Percentage Calc'!$E281,Transactions!O$19:O$46)</f>
        <v>0</v>
      </c>
      <c r="Q281" s="28">
        <f>SUMIF(Transactions!$K$19:$K$46,'Percentage Calc'!$E281,Transactions!P$19:P$46)</f>
        <v>0</v>
      </c>
      <c r="R281" s="28">
        <f t="shared" si="23"/>
        <v>0</v>
      </c>
      <c r="S281" s="28">
        <f t="shared" si="24"/>
        <v>0</v>
      </c>
    </row>
    <row r="282" spans="1:19" x14ac:dyDescent="0.35">
      <c r="A282" s="9"/>
      <c r="B282" s="32"/>
      <c r="C282" s="28">
        <f>IF(Check!$B$87=1,1,IF(R282&lt;1,0,1))</f>
        <v>1</v>
      </c>
      <c r="D282" s="28">
        <f t="shared" si="25"/>
        <v>1</v>
      </c>
      <c r="E282" s="32">
        <v>46106</v>
      </c>
      <c r="F282" s="28">
        <f>SUMIF(Transactions!$C$18:$C$46,'Percentage Calc'!$E282,Transactions!D$18:D$46)</f>
        <v>0</v>
      </c>
      <c r="G282" s="28">
        <f>SUMIF(Transactions!$C$18:$C$46,'Percentage Calc'!$E282,Transactions!E$18:E$46)</f>
        <v>0</v>
      </c>
      <c r="H282" s="28">
        <f>SUMIF(Transactions!$C$18:$C$46,'Percentage Calc'!$E282,Transactions!F$18:F$46)</f>
        <v>0</v>
      </c>
      <c r="I282" s="28">
        <f>SUMIF(Transactions!$C$18:$C$46,'Percentage Calc'!$E282,Transactions!G$18:G$46)</f>
        <v>0</v>
      </c>
      <c r="J282" s="28">
        <f t="shared" si="21"/>
        <v>0</v>
      </c>
      <c r="K282" s="28">
        <f t="shared" si="22"/>
        <v>0</v>
      </c>
      <c r="L282" s="32"/>
      <c r="M282" s="28">
        <f>SUMIF(Transactions!$K$19:$K$46,'Percentage Calc'!$E282,Transactions!L$19:L$46)</f>
        <v>0</v>
      </c>
      <c r="N282" s="28">
        <f>SUMIF(Transactions!$K$19:$K$46,'Percentage Calc'!$E282,Transactions!M$19:M$46)</f>
        <v>0</v>
      </c>
      <c r="O282" s="28">
        <f>SUMIF(Transactions!$K$19:$K$46,'Percentage Calc'!$E282,Transactions!N$19:N$46)</f>
        <v>0</v>
      </c>
      <c r="P282" s="28">
        <f>SUMIF(Transactions!$K$19:$K$46,'Percentage Calc'!$E282,Transactions!O$19:O$46)</f>
        <v>0</v>
      </c>
      <c r="Q282" s="28">
        <f>SUMIF(Transactions!$K$19:$K$46,'Percentage Calc'!$E282,Transactions!P$19:P$46)</f>
        <v>0</v>
      </c>
      <c r="R282" s="28">
        <f t="shared" si="23"/>
        <v>0</v>
      </c>
      <c r="S282" s="28">
        <f t="shared" si="24"/>
        <v>0</v>
      </c>
    </row>
    <row r="283" spans="1:19" x14ac:dyDescent="0.35">
      <c r="A283" s="9"/>
      <c r="B283" s="32"/>
      <c r="C283" s="28">
        <f>IF(Check!$B$87=1,1,IF(R283&lt;1,0,1))</f>
        <v>1</v>
      </c>
      <c r="D283" s="28">
        <f t="shared" si="25"/>
        <v>1</v>
      </c>
      <c r="E283" s="32">
        <v>46107</v>
      </c>
      <c r="F283" s="28">
        <f>SUMIF(Transactions!$C$18:$C$46,'Percentage Calc'!$E283,Transactions!D$18:D$46)</f>
        <v>0</v>
      </c>
      <c r="G283" s="28">
        <f>SUMIF(Transactions!$C$18:$C$46,'Percentage Calc'!$E283,Transactions!E$18:E$46)</f>
        <v>0</v>
      </c>
      <c r="H283" s="28">
        <f>SUMIF(Transactions!$C$18:$C$46,'Percentage Calc'!$E283,Transactions!F$18:F$46)</f>
        <v>0</v>
      </c>
      <c r="I283" s="28">
        <f>SUMIF(Transactions!$C$18:$C$46,'Percentage Calc'!$E283,Transactions!G$18:G$46)</f>
        <v>0</v>
      </c>
      <c r="J283" s="28">
        <f t="shared" si="21"/>
        <v>0</v>
      </c>
      <c r="K283" s="28">
        <f t="shared" si="22"/>
        <v>0</v>
      </c>
      <c r="L283" s="32"/>
      <c r="M283" s="28">
        <f>SUMIF(Transactions!$K$19:$K$46,'Percentage Calc'!$E283,Transactions!L$19:L$46)</f>
        <v>0</v>
      </c>
      <c r="N283" s="28">
        <f>SUMIF(Transactions!$K$19:$K$46,'Percentage Calc'!$E283,Transactions!M$19:M$46)</f>
        <v>0</v>
      </c>
      <c r="O283" s="28">
        <f>SUMIF(Transactions!$K$19:$K$46,'Percentage Calc'!$E283,Transactions!N$19:N$46)</f>
        <v>0</v>
      </c>
      <c r="P283" s="28">
        <f>SUMIF(Transactions!$K$19:$K$46,'Percentage Calc'!$E283,Transactions!O$19:O$46)</f>
        <v>0</v>
      </c>
      <c r="Q283" s="28">
        <f>SUMIF(Transactions!$K$19:$K$46,'Percentage Calc'!$E283,Transactions!P$19:P$46)</f>
        <v>0</v>
      </c>
      <c r="R283" s="28">
        <f t="shared" si="23"/>
        <v>0</v>
      </c>
      <c r="S283" s="28">
        <f t="shared" si="24"/>
        <v>0</v>
      </c>
    </row>
    <row r="284" spans="1:19" x14ac:dyDescent="0.35">
      <c r="A284" s="9"/>
      <c r="B284" s="32"/>
      <c r="C284" s="28">
        <f>IF(Check!$B$87=1,1,IF(R284&lt;1,0,1))</f>
        <v>1</v>
      </c>
      <c r="D284" s="28">
        <f t="shared" si="25"/>
        <v>1</v>
      </c>
      <c r="E284" s="32">
        <v>46108</v>
      </c>
      <c r="F284" s="28">
        <f>SUMIF(Transactions!$C$18:$C$46,'Percentage Calc'!$E284,Transactions!D$18:D$46)</f>
        <v>0</v>
      </c>
      <c r="G284" s="28">
        <f>SUMIF(Transactions!$C$18:$C$46,'Percentage Calc'!$E284,Transactions!E$18:E$46)</f>
        <v>0</v>
      </c>
      <c r="H284" s="28">
        <f>SUMIF(Transactions!$C$18:$C$46,'Percentage Calc'!$E284,Transactions!F$18:F$46)</f>
        <v>0</v>
      </c>
      <c r="I284" s="28">
        <f>SUMIF(Transactions!$C$18:$C$46,'Percentage Calc'!$E284,Transactions!G$18:G$46)</f>
        <v>0</v>
      </c>
      <c r="J284" s="28">
        <f t="shared" si="21"/>
        <v>0</v>
      </c>
      <c r="K284" s="28">
        <f t="shared" si="22"/>
        <v>0</v>
      </c>
      <c r="L284" s="32"/>
      <c r="M284" s="28">
        <f>SUMIF(Transactions!$K$19:$K$46,'Percentage Calc'!$E284,Transactions!L$19:L$46)</f>
        <v>0</v>
      </c>
      <c r="N284" s="28">
        <f>SUMIF(Transactions!$K$19:$K$46,'Percentage Calc'!$E284,Transactions!M$19:M$46)</f>
        <v>0</v>
      </c>
      <c r="O284" s="28">
        <f>SUMIF(Transactions!$K$19:$K$46,'Percentage Calc'!$E284,Transactions!N$19:N$46)</f>
        <v>0</v>
      </c>
      <c r="P284" s="28">
        <f>SUMIF(Transactions!$K$19:$K$46,'Percentage Calc'!$E284,Transactions!O$19:O$46)</f>
        <v>0</v>
      </c>
      <c r="Q284" s="28">
        <f>SUMIF(Transactions!$K$19:$K$46,'Percentage Calc'!$E284,Transactions!P$19:P$46)</f>
        <v>0</v>
      </c>
      <c r="R284" s="28">
        <f t="shared" si="23"/>
        <v>0</v>
      </c>
      <c r="S284" s="28">
        <f t="shared" si="24"/>
        <v>0</v>
      </c>
    </row>
    <row r="285" spans="1:19" x14ac:dyDescent="0.35">
      <c r="A285" s="9"/>
      <c r="B285" s="32"/>
      <c r="C285" s="28">
        <f>IF(Check!$B$87=1,1,IF(R285&lt;1,0,1))</f>
        <v>1</v>
      </c>
      <c r="D285" s="28">
        <f t="shared" si="25"/>
        <v>1</v>
      </c>
      <c r="E285" s="32">
        <v>46109</v>
      </c>
      <c r="F285" s="28">
        <f>SUMIF(Transactions!$C$18:$C$46,'Percentage Calc'!$E285,Transactions!D$18:D$46)</f>
        <v>0</v>
      </c>
      <c r="G285" s="28">
        <f>SUMIF(Transactions!$C$18:$C$46,'Percentage Calc'!$E285,Transactions!E$18:E$46)</f>
        <v>0</v>
      </c>
      <c r="H285" s="28">
        <f>SUMIF(Transactions!$C$18:$C$46,'Percentage Calc'!$E285,Transactions!F$18:F$46)</f>
        <v>0</v>
      </c>
      <c r="I285" s="28">
        <f>SUMIF(Transactions!$C$18:$C$46,'Percentage Calc'!$E285,Transactions!G$18:G$46)</f>
        <v>0</v>
      </c>
      <c r="J285" s="28">
        <f t="shared" si="21"/>
        <v>0</v>
      </c>
      <c r="K285" s="28">
        <f t="shared" si="22"/>
        <v>0</v>
      </c>
      <c r="L285" s="32"/>
      <c r="M285" s="28">
        <f>SUMIF(Transactions!$K$19:$K$46,'Percentage Calc'!$E285,Transactions!L$19:L$46)</f>
        <v>0</v>
      </c>
      <c r="N285" s="28">
        <f>SUMIF(Transactions!$K$19:$K$46,'Percentage Calc'!$E285,Transactions!M$19:M$46)</f>
        <v>0</v>
      </c>
      <c r="O285" s="28">
        <f>SUMIF(Transactions!$K$19:$K$46,'Percentage Calc'!$E285,Transactions!N$19:N$46)</f>
        <v>0</v>
      </c>
      <c r="P285" s="28">
        <f>SUMIF(Transactions!$K$19:$K$46,'Percentage Calc'!$E285,Transactions!O$19:O$46)</f>
        <v>0</v>
      </c>
      <c r="Q285" s="28">
        <f>SUMIF(Transactions!$K$19:$K$46,'Percentage Calc'!$E285,Transactions!P$19:P$46)</f>
        <v>0</v>
      </c>
      <c r="R285" s="28">
        <f t="shared" si="23"/>
        <v>0</v>
      </c>
      <c r="S285" s="28">
        <f t="shared" si="24"/>
        <v>0</v>
      </c>
    </row>
    <row r="286" spans="1:19" x14ac:dyDescent="0.35">
      <c r="A286" s="9"/>
      <c r="B286" s="32"/>
      <c r="C286" s="28">
        <f>IF(Check!$B$87=1,1,IF(R286&lt;1,0,1))</f>
        <v>1</v>
      </c>
      <c r="D286" s="28">
        <f t="shared" si="25"/>
        <v>1</v>
      </c>
      <c r="E286" s="32">
        <v>46110</v>
      </c>
      <c r="F286" s="28">
        <f>SUMIF(Transactions!$C$18:$C$46,'Percentage Calc'!$E286,Transactions!D$18:D$46)</f>
        <v>0</v>
      </c>
      <c r="G286" s="28">
        <f>SUMIF(Transactions!$C$18:$C$46,'Percentage Calc'!$E286,Transactions!E$18:E$46)</f>
        <v>0</v>
      </c>
      <c r="H286" s="28">
        <f>SUMIF(Transactions!$C$18:$C$46,'Percentage Calc'!$E286,Transactions!F$18:F$46)</f>
        <v>0</v>
      </c>
      <c r="I286" s="28">
        <f>SUMIF(Transactions!$C$18:$C$46,'Percentage Calc'!$E286,Transactions!G$18:G$46)</f>
        <v>0</v>
      </c>
      <c r="J286" s="28">
        <f t="shared" si="21"/>
        <v>0</v>
      </c>
      <c r="K286" s="28">
        <f t="shared" si="22"/>
        <v>0</v>
      </c>
      <c r="L286" s="32"/>
      <c r="M286" s="28">
        <f>SUMIF(Transactions!$K$19:$K$46,'Percentage Calc'!$E286,Transactions!L$19:L$46)</f>
        <v>0</v>
      </c>
      <c r="N286" s="28">
        <f>SUMIF(Transactions!$K$19:$K$46,'Percentage Calc'!$E286,Transactions!M$19:M$46)</f>
        <v>0</v>
      </c>
      <c r="O286" s="28">
        <f>SUMIF(Transactions!$K$19:$K$46,'Percentage Calc'!$E286,Transactions!N$19:N$46)</f>
        <v>0</v>
      </c>
      <c r="P286" s="28">
        <f>SUMIF(Transactions!$K$19:$K$46,'Percentage Calc'!$E286,Transactions!O$19:O$46)</f>
        <v>0</v>
      </c>
      <c r="Q286" s="28">
        <f>SUMIF(Transactions!$K$19:$K$46,'Percentage Calc'!$E286,Transactions!P$19:P$46)</f>
        <v>0</v>
      </c>
      <c r="R286" s="28">
        <f t="shared" si="23"/>
        <v>0</v>
      </c>
      <c r="S286" s="28">
        <f t="shared" si="24"/>
        <v>0</v>
      </c>
    </row>
    <row r="287" spans="1:19" x14ac:dyDescent="0.35">
      <c r="A287" s="9"/>
      <c r="B287" s="32"/>
      <c r="C287" s="28">
        <f>IF(Check!$B$87=1,1,IF(R287&lt;1,0,1))</f>
        <v>1</v>
      </c>
      <c r="D287" s="28">
        <f t="shared" si="25"/>
        <v>1</v>
      </c>
      <c r="E287" s="32">
        <v>46111</v>
      </c>
      <c r="F287" s="28">
        <f>SUMIF(Transactions!$C$18:$C$46,'Percentage Calc'!$E287,Transactions!D$18:D$46)</f>
        <v>0</v>
      </c>
      <c r="G287" s="28">
        <f>SUMIF(Transactions!$C$18:$C$46,'Percentage Calc'!$E287,Transactions!E$18:E$46)</f>
        <v>0</v>
      </c>
      <c r="H287" s="28">
        <f>SUMIF(Transactions!$C$18:$C$46,'Percentage Calc'!$E287,Transactions!F$18:F$46)</f>
        <v>0</v>
      </c>
      <c r="I287" s="28">
        <f>SUMIF(Transactions!$C$18:$C$46,'Percentage Calc'!$E287,Transactions!G$18:G$46)</f>
        <v>0</v>
      </c>
      <c r="J287" s="28">
        <f t="shared" si="21"/>
        <v>0</v>
      </c>
      <c r="K287" s="28">
        <f t="shared" si="22"/>
        <v>0</v>
      </c>
      <c r="L287" s="32"/>
      <c r="M287" s="28">
        <f>SUMIF(Transactions!$K$19:$K$46,'Percentage Calc'!$E287,Transactions!L$19:L$46)</f>
        <v>0</v>
      </c>
      <c r="N287" s="28">
        <f>SUMIF(Transactions!$K$19:$K$46,'Percentage Calc'!$E287,Transactions!M$19:M$46)</f>
        <v>0</v>
      </c>
      <c r="O287" s="28">
        <f>SUMIF(Transactions!$K$19:$K$46,'Percentage Calc'!$E287,Transactions!N$19:N$46)</f>
        <v>0</v>
      </c>
      <c r="P287" s="28">
        <f>SUMIF(Transactions!$K$19:$K$46,'Percentage Calc'!$E287,Transactions!O$19:O$46)</f>
        <v>0</v>
      </c>
      <c r="Q287" s="28">
        <f>SUMIF(Transactions!$K$19:$K$46,'Percentage Calc'!$E287,Transactions!P$19:P$46)</f>
        <v>0</v>
      </c>
      <c r="R287" s="28">
        <f t="shared" si="23"/>
        <v>0</v>
      </c>
      <c r="S287" s="28">
        <f t="shared" si="24"/>
        <v>0</v>
      </c>
    </row>
    <row r="288" spans="1:19" x14ac:dyDescent="0.35">
      <c r="A288" s="9"/>
      <c r="B288" s="32"/>
      <c r="C288" s="28">
        <f>IF(Check!$B$87=1,1,IF(R288&lt;1,0,1))</f>
        <v>1</v>
      </c>
      <c r="D288" s="28">
        <f t="shared" si="25"/>
        <v>1</v>
      </c>
      <c r="E288" s="32">
        <v>46112</v>
      </c>
      <c r="F288" s="28">
        <f>SUMIF(Transactions!$C$18:$C$46,'Percentage Calc'!$E288,Transactions!D$18:D$46)</f>
        <v>0</v>
      </c>
      <c r="G288" s="28">
        <f>SUMIF(Transactions!$C$18:$C$46,'Percentage Calc'!$E288,Transactions!E$18:E$46)</f>
        <v>0</v>
      </c>
      <c r="H288" s="28">
        <f>SUMIF(Transactions!$C$18:$C$46,'Percentage Calc'!$E288,Transactions!F$18:F$46)</f>
        <v>0</v>
      </c>
      <c r="I288" s="28">
        <f>SUMIF(Transactions!$C$18:$C$46,'Percentage Calc'!$E288,Transactions!G$18:G$46)</f>
        <v>0</v>
      </c>
      <c r="J288" s="28">
        <f t="shared" si="21"/>
        <v>0</v>
      </c>
      <c r="K288" s="28">
        <f t="shared" si="22"/>
        <v>0</v>
      </c>
      <c r="L288" s="32"/>
      <c r="M288" s="28">
        <f>SUMIF(Transactions!$K$19:$K$46,'Percentage Calc'!$E288,Transactions!L$19:L$46)</f>
        <v>0</v>
      </c>
      <c r="N288" s="28">
        <f>SUMIF(Transactions!$K$19:$K$46,'Percentage Calc'!$E288,Transactions!M$19:M$46)</f>
        <v>0</v>
      </c>
      <c r="O288" s="28">
        <f>SUMIF(Transactions!$K$19:$K$46,'Percentage Calc'!$E288,Transactions!N$19:N$46)</f>
        <v>0</v>
      </c>
      <c r="P288" s="28">
        <f>SUMIF(Transactions!$K$19:$K$46,'Percentage Calc'!$E288,Transactions!O$19:O$46)</f>
        <v>0</v>
      </c>
      <c r="Q288" s="28">
        <f>SUMIF(Transactions!$K$19:$K$46,'Percentage Calc'!$E288,Transactions!P$19:P$46)</f>
        <v>0</v>
      </c>
      <c r="R288" s="28">
        <f t="shared" si="23"/>
        <v>0</v>
      </c>
      <c r="S288" s="28">
        <f t="shared" si="24"/>
        <v>0</v>
      </c>
    </row>
    <row r="289" spans="1:19" x14ac:dyDescent="0.35">
      <c r="A289" s="9"/>
      <c r="B289" s="32"/>
      <c r="C289" s="28">
        <f>IF(Check!$B$87=1,1,IF(R289&lt;1,0,1))</f>
        <v>1</v>
      </c>
      <c r="D289" s="28">
        <f t="shared" si="25"/>
        <v>1</v>
      </c>
      <c r="E289" s="32">
        <v>46113</v>
      </c>
      <c r="F289" s="28">
        <f>SUMIF(Transactions!$C$18:$C$46,'Percentage Calc'!$E289,Transactions!D$18:D$46)</f>
        <v>0</v>
      </c>
      <c r="G289" s="28">
        <f>SUMIF(Transactions!$C$18:$C$46,'Percentage Calc'!$E289,Transactions!E$18:E$46)</f>
        <v>0</v>
      </c>
      <c r="H289" s="28">
        <f>SUMIF(Transactions!$C$18:$C$46,'Percentage Calc'!$E289,Transactions!F$18:F$46)</f>
        <v>0</v>
      </c>
      <c r="I289" s="28">
        <f>SUMIF(Transactions!$C$18:$C$46,'Percentage Calc'!$E289,Transactions!G$18:G$46)</f>
        <v>0</v>
      </c>
      <c r="J289" s="28">
        <f t="shared" si="21"/>
        <v>0</v>
      </c>
      <c r="K289" s="28">
        <f t="shared" si="22"/>
        <v>0</v>
      </c>
      <c r="L289" s="32"/>
      <c r="M289" s="28">
        <f>SUMIF(Transactions!$K$19:$K$46,'Percentage Calc'!$E289,Transactions!L$19:L$46)</f>
        <v>0</v>
      </c>
      <c r="N289" s="28">
        <f>SUMIF(Transactions!$K$19:$K$46,'Percentage Calc'!$E289,Transactions!M$19:M$46)</f>
        <v>0</v>
      </c>
      <c r="O289" s="28">
        <f>SUMIF(Transactions!$K$19:$K$46,'Percentage Calc'!$E289,Transactions!N$19:N$46)</f>
        <v>0</v>
      </c>
      <c r="P289" s="28">
        <f>SUMIF(Transactions!$K$19:$K$46,'Percentage Calc'!$E289,Transactions!O$19:O$46)</f>
        <v>0</v>
      </c>
      <c r="Q289" s="28">
        <f>SUMIF(Transactions!$K$19:$K$46,'Percentage Calc'!$E289,Transactions!P$19:P$46)</f>
        <v>0</v>
      </c>
      <c r="R289" s="28">
        <f t="shared" si="23"/>
        <v>0</v>
      </c>
      <c r="S289" s="28">
        <f t="shared" si="24"/>
        <v>0</v>
      </c>
    </row>
    <row r="290" spans="1:19" x14ac:dyDescent="0.35">
      <c r="A290" s="9"/>
      <c r="B290" s="32"/>
      <c r="C290" s="28">
        <f>IF(Check!$B$87=1,1,IF(R290&lt;1,0,1))</f>
        <v>1</v>
      </c>
      <c r="D290" s="28">
        <f t="shared" si="25"/>
        <v>1</v>
      </c>
      <c r="E290" s="32">
        <v>46114</v>
      </c>
      <c r="F290" s="28">
        <f>SUMIF(Transactions!$C$18:$C$46,'Percentage Calc'!$E290,Transactions!D$18:D$46)</f>
        <v>0</v>
      </c>
      <c r="G290" s="28">
        <f>SUMIF(Transactions!$C$18:$C$46,'Percentage Calc'!$E290,Transactions!E$18:E$46)</f>
        <v>0</v>
      </c>
      <c r="H290" s="28">
        <f>SUMIF(Transactions!$C$18:$C$46,'Percentage Calc'!$E290,Transactions!F$18:F$46)</f>
        <v>0</v>
      </c>
      <c r="I290" s="28">
        <f>SUMIF(Transactions!$C$18:$C$46,'Percentage Calc'!$E290,Transactions!G$18:G$46)</f>
        <v>0</v>
      </c>
      <c r="J290" s="28">
        <f t="shared" si="21"/>
        <v>0</v>
      </c>
      <c r="K290" s="28">
        <f t="shared" si="22"/>
        <v>0</v>
      </c>
      <c r="L290" s="32"/>
      <c r="M290" s="28">
        <f>SUMIF(Transactions!$K$19:$K$46,'Percentage Calc'!$E290,Transactions!L$19:L$46)</f>
        <v>0</v>
      </c>
      <c r="N290" s="28">
        <f>SUMIF(Transactions!$K$19:$K$46,'Percentage Calc'!$E290,Transactions!M$19:M$46)</f>
        <v>0</v>
      </c>
      <c r="O290" s="28">
        <f>SUMIF(Transactions!$K$19:$K$46,'Percentage Calc'!$E290,Transactions!N$19:N$46)</f>
        <v>0</v>
      </c>
      <c r="P290" s="28">
        <f>SUMIF(Transactions!$K$19:$K$46,'Percentage Calc'!$E290,Transactions!O$19:O$46)</f>
        <v>0</v>
      </c>
      <c r="Q290" s="28">
        <f>SUMIF(Transactions!$K$19:$K$46,'Percentage Calc'!$E290,Transactions!P$19:P$46)</f>
        <v>0</v>
      </c>
      <c r="R290" s="28">
        <f t="shared" si="23"/>
        <v>0</v>
      </c>
      <c r="S290" s="28">
        <f t="shared" si="24"/>
        <v>0</v>
      </c>
    </row>
    <row r="291" spans="1:19" x14ac:dyDescent="0.35">
      <c r="A291" s="9"/>
      <c r="B291" s="32"/>
      <c r="C291" s="28">
        <f>IF(Check!$B$87=1,1,IF(R291&lt;1,0,1))</f>
        <v>1</v>
      </c>
      <c r="D291" s="28">
        <f t="shared" si="25"/>
        <v>1</v>
      </c>
      <c r="E291" s="32">
        <v>46115</v>
      </c>
      <c r="F291" s="28">
        <f>SUMIF(Transactions!$C$18:$C$46,'Percentage Calc'!$E291,Transactions!D$18:D$46)</f>
        <v>0</v>
      </c>
      <c r="G291" s="28">
        <f>SUMIF(Transactions!$C$18:$C$46,'Percentage Calc'!$E291,Transactions!E$18:E$46)</f>
        <v>0</v>
      </c>
      <c r="H291" s="28">
        <f>SUMIF(Transactions!$C$18:$C$46,'Percentage Calc'!$E291,Transactions!F$18:F$46)</f>
        <v>0</v>
      </c>
      <c r="I291" s="28">
        <f>SUMIF(Transactions!$C$18:$C$46,'Percentage Calc'!$E291,Transactions!G$18:G$46)</f>
        <v>0</v>
      </c>
      <c r="J291" s="28">
        <f t="shared" ref="J291:J354" si="26">SUM(F291:I291)+J290</f>
        <v>0</v>
      </c>
      <c r="K291" s="28">
        <f t="shared" ref="K291:K354" si="27">ROUND($C291*J291/$E$4,3)</f>
        <v>0</v>
      </c>
      <c r="L291" s="32"/>
      <c r="M291" s="28">
        <f>SUMIF(Transactions!$K$19:$K$46,'Percentage Calc'!$E291,Transactions!L$19:L$46)</f>
        <v>0</v>
      </c>
      <c r="N291" s="28">
        <f>SUMIF(Transactions!$K$19:$K$46,'Percentage Calc'!$E291,Transactions!M$19:M$46)</f>
        <v>0</v>
      </c>
      <c r="O291" s="28">
        <f>SUMIF(Transactions!$K$19:$K$46,'Percentage Calc'!$E291,Transactions!N$19:N$46)</f>
        <v>0</v>
      </c>
      <c r="P291" s="28">
        <f>SUMIF(Transactions!$K$19:$K$46,'Percentage Calc'!$E291,Transactions!O$19:O$46)</f>
        <v>0</v>
      </c>
      <c r="Q291" s="28">
        <f>SUMIF(Transactions!$K$19:$K$46,'Percentage Calc'!$E291,Transactions!P$19:P$46)</f>
        <v>0</v>
      </c>
      <c r="R291" s="28">
        <f t="shared" ref="R291:R354" si="28">SUM(M291:Q291)+R290</f>
        <v>0</v>
      </c>
      <c r="S291" s="28">
        <f t="shared" ref="S291:S354" si="29">ROUND($C291*R291/$E$4,3)</f>
        <v>0</v>
      </c>
    </row>
    <row r="292" spans="1:19" x14ac:dyDescent="0.35">
      <c r="A292" s="9"/>
      <c r="B292" s="32"/>
      <c r="C292" s="28">
        <f>IF(Check!$B$87=1,1,IF(R292&lt;1,0,1))</f>
        <v>1</v>
      </c>
      <c r="D292" s="28">
        <f t="shared" si="25"/>
        <v>1</v>
      </c>
      <c r="E292" s="32">
        <v>46116</v>
      </c>
      <c r="F292" s="28">
        <f>SUMIF(Transactions!$C$18:$C$46,'Percentage Calc'!$E292,Transactions!D$18:D$46)</f>
        <v>0</v>
      </c>
      <c r="G292" s="28">
        <f>SUMIF(Transactions!$C$18:$C$46,'Percentage Calc'!$E292,Transactions!E$18:E$46)</f>
        <v>0</v>
      </c>
      <c r="H292" s="28">
        <f>SUMIF(Transactions!$C$18:$C$46,'Percentage Calc'!$E292,Transactions!F$18:F$46)</f>
        <v>0</v>
      </c>
      <c r="I292" s="28">
        <f>SUMIF(Transactions!$C$18:$C$46,'Percentage Calc'!$E292,Transactions!G$18:G$46)</f>
        <v>0</v>
      </c>
      <c r="J292" s="28">
        <f t="shared" si="26"/>
        <v>0</v>
      </c>
      <c r="K292" s="28">
        <f t="shared" si="27"/>
        <v>0</v>
      </c>
      <c r="L292" s="32"/>
      <c r="M292" s="28">
        <f>SUMIF(Transactions!$K$19:$K$46,'Percentage Calc'!$E292,Transactions!L$19:L$46)</f>
        <v>0</v>
      </c>
      <c r="N292" s="28">
        <f>SUMIF(Transactions!$K$19:$K$46,'Percentage Calc'!$E292,Transactions!M$19:M$46)</f>
        <v>0</v>
      </c>
      <c r="O292" s="28">
        <f>SUMIF(Transactions!$K$19:$K$46,'Percentage Calc'!$E292,Transactions!N$19:N$46)</f>
        <v>0</v>
      </c>
      <c r="P292" s="28">
        <f>SUMIF(Transactions!$K$19:$K$46,'Percentage Calc'!$E292,Transactions!O$19:O$46)</f>
        <v>0</v>
      </c>
      <c r="Q292" s="28">
        <f>SUMIF(Transactions!$K$19:$K$46,'Percentage Calc'!$E292,Transactions!P$19:P$46)</f>
        <v>0</v>
      </c>
      <c r="R292" s="28">
        <f t="shared" si="28"/>
        <v>0</v>
      </c>
      <c r="S292" s="28">
        <f t="shared" si="29"/>
        <v>0</v>
      </c>
    </row>
    <row r="293" spans="1:19" x14ac:dyDescent="0.35">
      <c r="A293" s="9"/>
      <c r="B293" s="32"/>
      <c r="C293" s="28">
        <f>IF(Check!$B$87=1,1,IF(R293&lt;1,0,1))</f>
        <v>1</v>
      </c>
      <c r="D293" s="28">
        <f t="shared" si="25"/>
        <v>1</v>
      </c>
      <c r="E293" s="32">
        <v>46117</v>
      </c>
      <c r="F293" s="28">
        <f>SUMIF(Transactions!$C$18:$C$46,'Percentage Calc'!$E293,Transactions!D$18:D$46)</f>
        <v>0</v>
      </c>
      <c r="G293" s="28">
        <f>SUMIF(Transactions!$C$18:$C$46,'Percentage Calc'!$E293,Transactions!E$18:E$46)</f>
        <v>0</v>
      </c>
      <c r="H293" s="28">
        <f>SUMIF(Transactions!$C$18:$C$46,'Percentage Calc'!$E293,Transactions!F$18:F$46)</f>
        <v>0</v>
      </c>
      <c r="I293" s="28">
        <f>SUMIF(Transactions!$C$18:$C$46,'Percentage Calc'!$E293,Transactions!G$18:G$46)</f>
        <v>0</v>
      </c>
      <c r="J293" s="28">
        <f t="shared" si="26"/>
        <v>0</v>
      </c>
      <c r="K293" s="28">
        <f t="shared" si="27"/>
        <v>0</v>
      </c>
      <c r="L293" s="32"/>
      <c r="M293" s="28">
        <f>SUMIF(Transactions!$K$19:$K$46,'Percentage Calc'!$E293,Transactions!L$19:L$46)</f>
        <v>0</v>
      </c>
      <c r="N293" s="28">
        <f>SUMIF(Transactions!$K$19:$K$46,'Percentage Calc'!$E293,Transactions!M$19:M$46)</f>
        <v>0</v>
      </c>
      <c r="O293" s="28">
        <f>SUMIF(Transactions!$K$19:$K$46,'Percentage Calc'!$E293,Transactions!N$19:N$46)</f>
        <v>0</v>
      </c>
      <c r="P293" s="28">
        <f>SUMIF(Transactions!$K$19:$K$46,'Percentage Calc'!$E293,Transactions!O$19:O$46)</f>
        <v>0</v>
      </c>
      <c r="Q293" s="28">
        <f>SUMIF(Transactions!$K$19:$K$46,'Percentage Calc'!$E293,Transactions!P$19:P$46)</f>
        <v>0</v>
      </c>
      <c r="R293" s="28">
        <f t="shared" si="28"/>
        <v>0</v>
      </c>
      <c r="S293" s="28">
        <f t="shared" si="29"/>
        <v>0</v>
      </c>
    </row>
    <row r="294" spans="1:19" x14ac:dyDescent="0.35">
      <c r="A294" s="9"/>
      <c r="B294" s="32"/>
      <c r="C294" s="28">
        <f>IF(Check!$B$87=1,1,IF(R294&lt;1,0,1))</f>
        <v>1</v>
      </c>
      <c r="D294" s="28">
        <f t="shared" si="25"/>
        <v>1</v>
      </c>
      <c r="E294" s="32">
        <v>46118</v>
      </c>
      <c r="F294" s="28">
        <f>SUMIF(Transactions!$C$18:$C$46,'Percentage Calc'!$E294,Transactions!D$18:D$46)</f>
        <v>0</v>
      </c>
      <c r="G294" s="28">
        <f>SUMIF(Transactions!$C$18:$C$46,'Percentage Calc'!$E294,Transactions!E$18:E$46)</f>
        <v>0</v>
      </c>
      <c r="H294" s="28">
        <f>SUMIF(Transactions!$C$18:$C$46,'Percentage Calc'!$E294,Transactions!F$18:F$46)</f>
        <v>0</v>
      </c>
      <c r="I294" s="28">
        <f>SUMIF(Transactions!$C$18:$C$46,'Percentage Calc'!$E294,Transactions!G$18:G$46)</f>
        <v>0</v>
      </c>
      <c r="J294" s="28">
        <f t="shared" si="26"/>
        <v>0</v>
      </c>
      <c r="K294" s="28">
        <f t="shared" si="27"/>
        <v>0</v>
      </c>
      <c r="L294" s="32"/>
      <c r="M294" s="28">
        <f>SUMIF(Transactions!$K$19:$K$46,'Percentage Calc'!$E294,Transactions!L$19:L$46)</f>
        <v>0</v>
      </c>
      <c r="N294" s="28">
        <f>SUMIF(Transactions!$K$19:$K$46,'Percentage Calc'!$E294,Transactions!M$19:M$46)</f>
        <v>0</v>
      </c>
      <c r="O294" s="28">
        <f>SUMIF(Transactions!$K$19:$K$46,'Percentage Calc'!$E294,Transactions!N$19:N$46)</f>
        <v>0</v>
      </c>
      <c r="P294" s="28">
        <f>SUMIF(Transactions!$K$19:$K$46,'Percentage Calc'!$E294,Transactions!O$19:O$46)</f>
        <v>0</v>
      </c>
      <c r="Q294" s="28">
        <f>SUMIF(Transactions!$K$19:$K$46,'Percentage Calc'!$E294,Transactions!P$19:P$46)</f>
        <v>0</v>
      </c>
      <c r="R294" s="28">
        <f t="shared" si="28"/>
        <v>0</v>
      </c>
      <c r="S294" s="28">
        <f t="shared" si="29"/>
        <v>0</v>
      </c>
    </row>
    <row r="295" spans="1:19" x14ac:dyDescent="0.35">
      <c r="A295" s="9"/>
      <c r="B295" s="32"/>
      <c r="C295" s="28">
        <f>IF(Check!$B$87=1,1,IF(R295&lt;1,0,1))</f>
        <v>1</v>
      </c>
      <c r="D295" s="28">
        <f t="shared" si="25"/>
        <v>1</v>
      </c>
      <c r="E295" s="32">
        <v>46119</v>
      </c>
      <c r="F295" s="28">
        <f>SUMIF(Transactions!$C$18:$C$46,'Percentage Calc'!$E295,Transactions!D$18:D$46)</f>
        <v>0</v>
      </c>
      <c r="G295" s="28">
        <f>SUMIF(Transactions!$C$18:$C$46,'Percentage Calc'!$E295,Transactions!E$18:E$46)</f>
        <v>0</v>
      </c>
      <c r="H295" s="28">
        <f>SUMIF(Transactions!$C$18:$C$46,'Percentage Calc'!$E295,Transactions!F$18:F$46)</f>
        <v>0</v>
      </c>
      <c r="I295" s="28">
        <f>SUMIF(Transactions!$C$18:$C$46,'Percentage Calc'!$E295,Transactions!G$18:G$46)</f>
        <v>0</v>
      </c>
      <c r="J295" s="28">
        <f t="shared" si="26"/>
        <v>0</v>
      </c>
      <c r="K295" s="28">
        <f t="shared" si="27"/>
        <v>0</v>
      </c>
      <c r="L295" s="32"/>
      <c r="M295" s="28">
        <f>SUMIF(Transactions!$K$19:$K$46,'Percentage Calc'!$E295,Transactions!L$19:L$46)</f>
        <v>0</v>
      </c>
      <c r="N295" s="28">
        <f>SUMIF(Transactions!$K$19:$K$46,'Percentage Calc'!$E295,Transactions!M$19:M$46)</f>
        <v>0</v>
      </c>
      <c r="O295" s="28">
        <f>SUMIF(Transactions!$K$19:$K$46,'Percentage Calc'!$E295,Transactions!N$19:N$46)</f>
        <v>0</v>
      </c>
      <c r="P295" s="28">
        <f>SUMIF(Transactions!$K$19:$K$46,'Percentage Calc'!$E295,Transactions!O$19:O$46)</f>
        <v>0</v>
      </c>
      <c r="Q295" s="28">
        <f>SUMIF(Transactions!$K$19:$K$46,'Percentage Calc'!$E295,Transactions!P$19:P$46)</f>
        <v>0</v>
      </c>
      <c r="R295" s="28">
        <f t="shared" si="28"/>
        <v>0</v>
      </c>
      <c r="S295" s="28">
        <f t="shared" si="29"/>
        <v>0</v>
      </c>
    </row>
    <row r="296" spans="1:19" x14ac:dyDescent="0.35">
      <c r="A296" s="9"/>
      <c r="B296" s="32"/>
      <c r="C296" s="28">
        <f>IF(Check!$B$87=1,1,IF(R296&lt;1,0,1))</f>
        <v>1</v>
      </c>
      <c r="D296" s="28">
        <f t="shared" si="25"/>
        <v>1</v>
      </c>
      <c r="E296" s="32">
        <v>46120</v>
      </c>
      <c r="F296" s="28">
        <f>SUMIF(Transactions!$C$18:$C$46,'Percentage Calc'!$E296,Transactions!D$18:D$46)</f>
        <v>0</v>
      </c>
      <c r="G296" s="28">
        <f>SUMIF(Transactions!$C$18:$C$46,'Percentage Calc'!$E296,Transactions!E$18:E$46)</f>
        <v>0</v>
      </c>
      <c r="H296" s="28">
        <f>SUMIF(Transactions!$C$18:$C$46,'Percentage Calc'!$E296,Transactions!F$18:F$46)</f>
        <v>0</v>
      </c>
      <c r="I296" s="28">
        <f>SUMIF(Transactions!$C$18:$C$46,'Percentage Calc'!$E296,Transactions!G$18:G$46)</f>
        <v>0</v>
      </c>
      <c r="J296" s="28">
        <f t="shared" si="26"/>
        <v>0</v>
      </c>
      <c r="K296" s="28">
        <f t="shared" si="27"/>
        <v>0</v>
      </c>
      <c r="L296" s="32"/>
      <c r="M296" s="28">
        <f>SUMIF(Transactions!$K$19:$K$46,'Percentage Calc'!$E296,Transactions!L$19:L$46)</f>
        <v>0</v>
      </c>
      <c r="N296" s="28">
        <f>SUMIF(Transactions!$K$19:$K$46,'Percentage Calc'!$E296,Transactions!M$19:M$46)</f>
        <v>0</v>
      </c>
      <c r="O296" s="28">
        <f>SUMIF(Transactions!$K$19:$K$46,'Percentage Calc'!$E296,Transactions!N$19:N$46)</f>
        <v>0</v>
      </c>
      <c r="P296" s="28">
        <f>SUMIF(Transactions!$K$19:$K$46,'Percentage Calc'!$E296,Transactions!O$19:O$46)</f>
        <v>0</v>
      </c>
      <c r="Q296" s="28">
        <f>SUMIF(Transactions!$K$19:$K$46,'Percentage Calc'!$E296,Transactions!P$19:P$46)</f>
        <v>0</v>
      </c>
      <c r="R296" s="28">
        <f t="shared" si="28"/>
        <v>0</v>
      </c>
      <c r="S296" s="28">
        <f t="shared" si="29"/>
        <v>0</v>
      </c>
    </row>
    <row r="297" spans="1:19" x14ac:dyDescent="0.35">
      <c r="A297" s="9"/>
      <c r="B297" s="32"/>
      <c r="C297" s="28">
        <f>IF(Check!$B$87=1,1,IF(R297&lt;1,0,1))</f>
        <v>1</v>
      </c>
      <c r="D297" s="28">
        <f t="shared" si="25"/>
        <v>1</v>
      </c>
      <c r="E297" s="32">
        <v>46121</v>
      </c>
      <c r="F297" s="28">
        <f>SUMIF(Transactions!$C$18:$C$46,'Percentage Calc'!$E297,Transactions!D$18:D$46)</f>
        <v>0</v>
      </c>
      <c r="G297" s="28">
        <f>SUMIF(Transactions!$C$18:$C$46,'Percentage Calc'!$E297,Transactions!E$18:E$46)</f>
        <v>0</v>
      </c>
      <c r="H297" s="28">
        <f>SUMIF(Transactions!$C$18:$C$46,'Percentage Calc'!$E297,Transactions!F$18:F$46)</f>
        <v>0</v>
      </c>
      <c r="I297" s="28">
        <f>SUMIF(Transactions!$C$18:$C$46,'Percentage Calc'!$E297,Transactions!G$18:G$46)</f>
        <v>0</v>
      </c>
      <c r="J297" s="28">
        <f t="shared" si="26"/>
        <v>0</v>
      </c>
      <c r="K297" s="28">
        <f t="shared" si="27"/>
        <v>0</v>
      </c>
      <c r="L297" s="32"/>
      <c r="M297" s="28">
        <f>SUMIF(Transactions!$K$19:$K$46,'Percentage Calc'!$E297,Transactions!L$19:L$46)</f>
        <v>0</v>
      </c>
      <c r="N297" s="28">
        <f>SUMIF(Transactions!$K$19:$K$46,'Percentage Calc'!$E297,Transactions!M$19:M$46)</f>
        <v>0</v>
      </c>
      <c r="O297" s="28">
        <f>SUMIF(Transactions!$K$19:$K$46,'Percentage Calc'!$E297,Transactions!N$19:N$46)</f>
        <v>0</v>
      </c>
      <c r="P297" s="28">
        <f>SUMIF(Transactions!$K$19:$K$46,'Percentage Calc'!$E297,Transactions!O$19:O$46)</f>
        <v>0</v>
      </c>
      <c r="Q297" s="28">
        <f>SUMIF(Transactions!$K$19:$K$46,'Percentage Calc'!$E297,Transactions!P$19:P$46)</f>
        <v>0</v>
      </c>
      <c r="R297" s="28">
        <f t="shared" si="28"/>
        <v>0</v>
      </c>
      <c r="S297" s="28">
        <f t="shared" si="29"/>
        <v>0</v>
      </c>
    </row>
    <row r="298" spans="1:19" x14ac:dyDescent="0.35">
      <c r="A298" s="9"/>
      <c r="B298" s="32"/>
      <c r="C298" s="28">
        <f>IF(Check!$B$87=1,1,IF(R298&lt;1,0,1))</f>
        <v>1</v>
      </c>
      <c r="D298" s="28">
        <f t="shared" si="25"/>
        <v>1</v>
      </c>
      <c r="E298" s="32">
        <v>46122</v>
      </c>
      <c r="F298" s="28">
        <f>SUMIF(Transactions!$C$18:$C$46,'Percentage Calc'!$E298,Transactions!D$18:D$46)</f>
        <v>0</v>
      </c>
      <c r="G298" s="28">
        <f>SUMIF(Transactions!$C$18:$C$46,'Percentage Calc'!$E298,Transactions!E$18:E$46)</f>
        <v>0</v>
      </c>
      <c r="H298" s="28">
        <f>SUMIF(Transactions!$C$18:$C$46,'Percentage Calc'!$E298,Transactions!F$18:F$46)</f>
        <v>0</v>
      </c>
      <c r="I298" s="28">
        <f>SUMIF(Transactions!$C$18:$C$46,'Percentage Calc'!$E298,Transactions!G$18:G$46)</f>
        <v>0</v>
      </c>
      <c r="J298" s="28">
        <f t="shared" si="26"/>
        <v>0</v>
      </c>
      <c r="K298" s="28">
        <f t="shared" si="27"/>
        <v>0</v>
      </c>
      <c r="L298" s="32"/>
      <c r="M298" s="28">
        <f>SUMIF(Transactions!$K$19:$K$46,'Percentage Calc'!$E298,Transactions!L$19:L$46)</f>
        <v>0</v>
      </c>
      <c r="N298" s="28">
        <f>SUMIF(Transactions!$K$19:$K$46,'Percentage Calc'!$E298,Transactions!M$19:M$46)</f>
        <v>0</v>
      </c>
      <c r="O298" s="28">
        <f>SUMIF(Transactions!$K$19:$K$46,'Percentage Calc'!$E298,Transactions!N$19:N$46)</f>
        <v>0</v>
      </c>
      <c r="P298" s="28">
        <f>SUMIF(Transactions!$K$19:$K$46,'Percentage Calc'!$E298,Transactions!O$19:O$46)</f>
        <v>0</v>
      </c>
      <c r="Q298" s="28">
        <f>SUMIF(Transactions!$K$19:$K$46,'Percentage Calc'!$E298,Transactions!P$19:P$46)</f>
        <v>0</v>
      </c>
      <c r="R298" s="28">
        <f t="shared" si="28"/>
        <v>0</v>
      </c>
      <c r="S298" s="28">
        <f t="shared" si="29"/>
        <v>0</v>
      </c>
    </row>
    <row r="299" spans="1:19" x14ac:dyDescent="0.35">
      <c r="A299" s="9"/>
      <c r="B299" s="32"/>
      <c r="C299" s="28">
        <f>IF(Check!$B$87=1,1,IF(R299&lt;1,0,1))</f>
        <v>1</v>
      </c>
      <c r="D299" s="28">
        <f t="shared" si="25"/>
        <v>1</v>
      </c>
      <c r="E299" s="32">
        <v>46123</v>
      </c>
      <c r="F299" s="28">
        <f>SUMIF(Transactions!$C$18:$C$46,'Percentage Calc'!$E299,Transactions!D$18:D$46)</f>
        <v>0</v>
      </c>
      <c r="G299" s="28">
        <f>SUMIF(Transactions!$C$18:$C$46,'Percentage Calc'!$E299,Transactions!E$18:E$46)</f>
        <v>0</v>
      </c>
      <c r="H299" s="28">
        <f>SUMIF(Transactions!$C$18:$C$46,'Percentage Calc'!$E299,Transactions!F$18:F$46)</f>
        <v>0</v>
      </c>
      <c r="I299" s="28">
        <f>SUMIF(Transactions!$C$18:$C$46,'Percentage Calc'!$E299,Transactions!G$18:G$46)</f>
        <v>0</v>
      </c>
      <c r="J299" s="28">
        <f t="shared" si="26"/>
        <v>0</v>
      </c>
      <c r="K299" s="28">
        <f t="shared" si="27"/>
        <v>0</v>
      </c>
      <c r="L299" s="32"/>
      <c r="M299" s="28">
        <f>SUMIF(Transactions!$K$19:$K$46,'Percentage Calc'!$E299,Transactions!L$19:L$46)</f>
        <v>0</v>
      </c>
      <c r="N299" s="28">
        <f>SUMIF(Transactions!$K$19:$K$46,'Percentage Calc'!$E299,Transactions!M$19:M$46)</f>
        <v>0</v>
      </c>
      <c r="O299" s="28">
        <f>SUMIF(Transactions!$K$19:$K$46,'Percentage Calc'!$E299,Transactions!N$19:N$46)</f>
        <v>0</v>
      </c>
      <c r="P299" s="28">
        <f>SUMIF(Transactions!$K$19:$K$46,'Percentage Calc'!$E299,Transactions!O$19:O$46)</f>
        <v>0</v>
      </c>
      <c r="Q299" s="28">
        <f>SUMIF(Transactions!$K$19:$K$46,'Percentage Calc'!$E299,Transactions!P$19:P$46)</f>
        <v>0</v>
      </c>
      <c r="R299" s="28">
        <f t="shared" si="28"/>
        <v>0</v>
      </c>
      <c r="S299" s="28">
        <f t="shared" si="29"/>
        <v>0</v>
      </c>
    </row>
    <row r="300" spans="1:19" x14ac:dyDescent="0.35">
      <c r="A300" s="9"/>
      <c r="B300" s="32"/>
      <c r="C300" s="28">
        <f>IF(Check!$B$87=1,1,IF(R300&lt;1,0,1))</f>
        <v>1</v>
      </c>
      <c r="D300" s="28">
        <f t="shared" si="25"/>
        <v>1</v>
      </c>
      <c r="E300" s="32">
        <v>46124</v>
      </c>
      <c r="F300" s="28">
        <f>SUMIF(Transactions!$C$18:$C$46,'Percentage Calc'!$E300,Transactions!D$18:D$46)</f>
        <v>0</v>
      </c>
      <c r="G300" s="28">
        <f>SUMIF(Transactions!$C$18:$C$46,'Percentage Calc'!$E300,Transactions!E$18:E$46)</f>
        <v>0</v>
      </c>
      <c r="H300" s="28">
        <f>SUMIF(Transactions!$C$18:$C$46,'Percentage Calc'!$E300,Transactions!F$18:F$46)</f>
        <v>0</v>
      </c>
      <c r="I300" s="28">
        <f>SUMIF(Transactions!$C$18:$C$46,'Percentage Calc'!$E300,Transactions!G$18:G$46)</f>
        <v>0</v>
      </c>
      <c r="J300" s="28">
        <f t="shared" si="26"/>
        <v>0</v>
      </c>
      <c r="K300" s="28">
        <f t="shared" si="27"/>
        <v>0</v>
      </c>
      <c r="L300" s="32"/>
      <c r="M300" s="28">
        <f>SUMIF(Transactions!$K$19:$K$46,'Percentage Calc'!$E300,Transactions!L$19:L$46)</f>
        <v>0</v>
      </c>
      <c r="N300" s="28">
        <f>SUMIF(Transactions!$K$19:$K$46,'Percentage Calc'!$E300,Transactions!M$19:M$46)</f>
        <v>0</v>
      </c>
      <c r="O300" s="28">
        <f>SUMIF(Transactions!$K$19:$K$46,'Percentage Calc'!$E300,Transactions!N$19:N$46)</f>
        <v>0</v>
      </c>
      <c r="P300" s="28">
        <f>SUMIF(Transactions!$K$19:$K$46,'Percentage Calc'!$E300,Transactions!O$19:O$46)</f>
        <v>0</v>
      </c>
      <c r="Q300" s="28">
        <f>SUMIF(Transactions!$K$19:$K$46,'Percentage Calc'!$E300,Transactions!P$19:P$46)</f>
        <v>0</v>
      </c>
      <c r="R300" s="28">
        <f t="shared" si="28"/>
        <v>0</v>
      </c>
      <c r="S300" s="28">
        <f t="shared" si="29"/>
        <v>0</v>
      </c>
    </row>
    <row r="301" spans="1:19" x14ac:dyDescent="0.35">
      <c r="A301" s="9"/>
      <c r="B301" s="32"/>
      <c r="C301" s="28">
        <f>IF(Check!$B$87=1,1,IF(R301&lt;1,0,1))</f>
        <v>1</v>
      </c>
      <c r="D301" s="28">
        <f t="shared" si="25"/>
        <v>1</v>
      </c>
      <c r="E301" s="32">
        <v>46125</v>
      </c>
      <c r="F301" s="28">
        <f>SUMIF(Transactions!$C$18:$C$46,'Percentage Calc'!$E301,Transactions!D$18:D$46)</f>
        <v>0</v>
      </c>
      <c r="G301" s="28">
        <f>SUMIF(Transactions!$C$18:$C$46,'Percentage Calc'!$E301,Transactions!E$18:E$46)</f>
        <v>0</v>
      </c>
      <c r="H301" s="28">
        <f>SUMIF(Transactions!$C$18:$C$46,'Percentage Calc'!$E301,Transactions!F$18:F$46)</f>
        <v>0</v>
      </c>
      <c r="I301" s="28">
        <f>SUMIF(Transactions!$C$18:$C$46,'Percentage Calc'!$E301,Transactions!G$18:G$46)</f>
        <v>0</v>
      </c>
      <c r="J301" s="28">
        <f t="shared" si="26"/>
        <v>0</v>
      </c>
      <c r="K301" s="28">
        <f t="shared" si="27"/>
        <v>0</v>
      </c>
      <c r="L301" s="32"/>
      <c r="M301" s="28">
        <f>SUMIF(Transactions!$K$19:$K$46,'Percentage Calc'!$E301,Transactions!L$19:L$46)</f>
        <v>0</v>
      </c>
      <c r="N301" s="28">
        <f>SUMIF(Transactions!$K$19:$K$46,'Percentage Calc'!$E301,Transactions!M$19:M$46)</f>
        <v>0</v>
      </c>
      <c r="O301" s="28">
        <f>SUMIF(Transactions!$K$19:$K$46,'Percentage Calc'!$E301,Transactions!N$19:N$46)</f>
        <v>0</v>
      </c>
      <c r="P301" s="28">
        <f>SUMIF(Transactions!$K$19:$K$46,'Percentage Calc'!$E301,Transactions!O$19:O$46)</f>
        <v>0</v>
      </c>
      <c r="Q301" s="28">
        <f>SUMIF(Transactions!$K$19:$K$46,'Percentage Calc'!$E301,Transactions!P$19:P$46)</f>
        <v>0</v>
      </c>
      <c r="R301" s="28">
        <f t="shared" si="28"/>
        <v>0</v>
      </c>
      <c r="S301" s="28">
        <f t="shared" si="29"/>
        <v>0</v>
      </c>
    </row>
    <row r="302" spans="1:19" x14ac:dyDescent="0.35">
      <c r="A302" s="9"/>
      <c r="B302" s="32"/>
      <c r="C302" s="28">
        <f>IF(Check!$B$87=1,1,IF(R302&lt;1,0,1))</f>
        <v>1</v>
      </c>
      <c r="D302" s="28">
        <f t="shared" si="25"/>
        <v>1</v>
      </c>
      <c r="E302" s="32">
        <v>46126</v>
      </c>
      <c r="F302" s="28">
        <f>SUMIF(Transactions!$C$18:$C$46,'Percentage Calc'!$E302,Transactions!D$18:D$46)</f>
        <v>0</v>
      </c>
      <c r="G302" s="28">
        <f>SUMIF(Transactions!$C$18:$C$46,'Percentage Calc'!$E302,Transactions!E$18:E$46)</f>
        <v>0</v>
      </c>
      <c r="H302" s="28">
        <f>SUMIF(Transactions!$C$18:$C$46,'Percentage Calc'!$E302,Transactions!F$18:F$46)</f>
        <v>0</v>
      </c>
      <c r="I302" s="28">
        <f>SUMIF(Transactions!$C$18:$C$46,'Percentage Calc'!$E302,Transactions!G$18:G$46)</f>
        <v>0</v>
      </c>
      <c r="J302" s="28">
        <f t="shared" si="26"/>
        <v>0</v>
      </c>
      <c r="K302" s="28">
        <f t="shared" si="27"/>
        <v>0</v>
      </c>
      <c r="L302" s="32"/>
      <c r="M302" s="28">
        <f>SUMIF(Transactions!$K$19:$K$46,'Percentage Calc'!$E302,Transactions!L$19:L$46)</f>
        <v>0</v>
      </c>
      <c r="N302" s="28">
        <f>SUMIF(Transactions!$K$19:$K$46,'Percentage Calc'!$E302,Transactions!M$19:M$46)</f>
        <v>0</v>
      </c>
      <c r="O302" s="28">
        <f>SUMIF(Transactions!$K$19:$K$46,'Percentage Calc'!$E302,Transactions!N$19:N$46)</f>
        <v>0</v>
      </c>
      <c r="P302" s="28">
        <f>SUMIF(Transactions!$K$19:$K$46,'Percentage Calc'!$E302,Transactions!O$19:O$46)</f>
        <v>0</v>
      </c>
      <c r="Q302" s="28">
        <f>SUMIF(Transactions!$K$19:$K$46,'Percentage Calc'!$E302,Transactions!P$19:P$46)</f>
        <v>0</v>
      </c>
      <c r="R302" s="28">
        <f t="shared" si="28"/>
        <v>0</v>
      </c>
      <c r="S302" s="28">
        <f t="shared" si="29"/>
        <v>0</v>
      </c>
    </row>
    <row r="303" spans="1:19" x14ac:dyDescent="0.35">
      <c r="A303" s="9"/>
      <c r="B303" s="32"/>
      <c r="C303" s="28">
        <f>IF(Check!$B$87=1,1,IF(R303&lt;1,0,1))</f>
        <v>1</v>
      </c>
      <c r="D303" s="28">
        <f t="shared" si="25"/>
        <v>1</v>
      </c>
      <c r="E303" s="32">
        <v>46127</v>
      </c>
      <c r="F303" s="28">
        <f>SUMIF(Transactions!$C$18:$C$46,'Percentage Calc'!$E303,Transactions!D$18:D$46)</f>
        <v>0</v>
      </c>
      <c r="G303" s="28">
        <f>SUMIF(Transactions!$C$18:$C$46,'Percentage Calc'!$E303,Transactions!E$18:E$46)</f>
        <v>0</v>
      </c>
      <c r="H303" s="28">
        <f>SUMIF(Transactions!$C$18:$C$46,'Percentage Calc'!$E303,Transactions!F$18:F$46)</f>
        <v>0</v>
      </c>
      <c r="I303" s="28">
        <f>SUMIF(Transactions!$C$18:$C$46,'Percentage Calc'!$E303,Transactions!G$18:G$46)</f>
        <v>0</v>
      </c>
      <c r="J303" s="28">
        <f t="shared" si="26"/>
        <v>0</v>
      </c>
      <c r="K303" s="28">
        <f t="shared" si="27"/>
        <v>0</v>
      </c>
      <c r="L303" s="32"/>
      <c r="M303" s="28">
        <f>SUMIF(Transactions!$K$19:$K$46,'Percentage Calc'!$E303,Transactions!L$19:L$46)</f>
        <v>0</v>
      </c>
      <c r="N303" s="28">
        <f>SUMIF(Transactions!$K$19:$K$46,'Percentage Calc'!$E303,Transactions!M$19:M$46)</f>
        <v>0</v>
      </c>
      <c r="O303" s="28">
        <f>SUMIF(Transactions!$K$19:$K$46,'Percentage Calc'!$E303,Transactions!N$19:N$46)</f>
        <v>0</v>
      </c>
      <c r="P303" s="28">
        <f>SUMIF(Transactions!$K$19:$K$46,'Percentage Calc'!$E303,Transactions!O$19:O$46)</f>
        <v>0</v>
      </c>
      <c r="Q303" s="28">
        <f>SUMIF(Transactions!$K$19:$K$46,'Percentage Calc'!$E303,Transactions!P$19:P$46)</f>
        <v>0</v>
      </c>
      <c r="R303" s="28">
        <f t="shared" si="28"/>
        <v>0</v>
      </c>
      <c r="S303" s="28">
        <f t="shared" si="29"/>
        <v>0</v>
      </c>
    </row>
    <row r="304" spans="1:19" x14ac:dyDescent="0.35">
      <c r="A304" s="9"/>
      <c r="B304" s="32"/>
      <c r="C304" s="28">
        <f>IF(Check!$B$87=1,1,IF(R304&lt;1,0,1))</f>
        <v>1</v>
      </c>
      <c r="D304" s="28">
        <f t="shared" si="25"/>
        <v>1</v>
      </c>
      <c r="E304" s="32">
        <v>46128</v>
      </c>
      <c r="F304" s="28">
        <f>SUMIF(Transactions!$C$18:$C$46,'Percentage Calc'!$E304,Transactions!D$18:D$46)</f>
        <v>0</v>
      </c>
      <c r="G304" s="28">
        <f>SUMIF(Transactions!$C$18:$C$46,'Percentage Calc'!$E304,Transactions!E$18:E$46)</f>
        <v>0</v>
      </c>
      <c r="H304" s="28">
        <f>SUMIF(Transactions!$C$18:$C$46,'Percentage Calc'!$E304,Transactions!F$18:F$46)</f>
        <v>0</v>
      </c>
      <c r="I304" s="28">
        <f>SUMIF(Transactions!$C$18:$C$46,'Percentage Calc'!$E304,Transactions!G$18:G$46)</f>
        <v>0</v>
      </c>
      <c r="J304" s="28">
        <f t="shared" si="26"/>
        <v>0</v>
      </c>
      <c r="K304" s="28">
        <f t="shared" si="27"/>
        <v>0</v>
      </c>
      <c r="L304" s="32"/>
      <c r="M304" s="28">
        <f>SUMIF(Transactions!$K$19:$K$46,'Percentage Calc'!$E304,Transactions!L$19:L$46)</f>
        <v>0</v>
      </c>
      <c r="N304" s="28">
        <f>SUMIF(Transactions!$K$19:$K$46,'Percentage Calc'!$E304,Transactions!M$19:M$46)</f>
        <v>0</v>
      </c>
      <c r="O304" s="28">
        <f>SUMIF(Transactions!$K$19:$K$46,'Percentage Calc'!$E304,Transactions!N$19:N$46)</f>
        <v>0</v>
      </c>
      <c r="P304" s="28">
        <f>SUMIF(Transactions!$K$19:$K$46,'Percentage Calc'!$E304,Transactions!O$19:O$46)</f>
        <v>0</v>
      </c>
      <c r="Q304" s="28">
        <f>SUMIF(Transactions!$K$19:$K$46,'Percentage Calc'!$E304,Transactions!P$19:P$46)</f>
        <v>0</v>
      </c>
      <c r="R304" s="28">
        <f t="shared" si="28"/>
        <v>0</v>
      </c>
      <c r="S304" s="28">
        <f t="shared" si="29"/>
        <v>0</v>
      </c>
    </row>
    <row r="305" spans="1:19" x14ac:dyDescent="0.35">
      <c r="A305" s="9"/>
      <c r="B305" s="32"/>
      <c r="C305" s="28">
        <f>IF(Check!$B$87=1,1,IF(R305&lt;1,0,1))</f>
        <v>1</v>
      </c>
      <c r="D305" s="28">
        <f t="shared" si="25"/>
        <v>1</v>
      </c>
      <c r="E305" s="32">
        <v>46129</v>
      </c>
      <c r="F305" s="28">
        <f>SUMIF(Transactions!$C$18:$C$46,'Percentage Calc'!$E305,Transactions!D$18:D$46)</f>
        <v>0</v>
      </c>
      <c r="G305" s="28">
        <f>SUMIF(Transactions!$C$18:$C$46,'Percentage Calc'!$E305,Transactions!E$18:E$46)</f>
        <v>0</v>
      </c>
      <c r="H305" s="28">
        <f>SUMIF(Transactions!$C$18:$C$46,'Percentage Calc'!$E305,Transactions!F$18:F$46)</f>
        <v>0</v>
      </c>
      <c r="I305" s="28">
        <f>SUMIF(Transactions!$C$18:$C$46,'Percentage Calc'!$E305,Transactions!G$18:G$46)</f>
        <v>0</v>
      </c>
      <c r="J305" s="28">
        <f t="shared" si="26"/>
        <v>0</v>
      </c>
      <c r="K305" s="28">
        <f t="shared" si="27"/>
        <v>0</v>
      </c>
      <c r="L305" s="32"/>
      <c r="M305" s="28">
        <f>SUMIF(Transactions!$K$19:$K$46,'Percentage Calc'!$E305,Transactions!L$19:L$46)</f>
        <v>0</v>
      </c>
      <c r="N305" s="28">
        <f>SUMIF(Transactions!$K$19:$K$46,'Percentage Calc'!$E305,Transactions!M$19:M$46)</f>
        <v>0</v>
      </c>
      <c r="O305" s="28">
        <f>SUMIF(Transactions!$K$19:$K$46,'Percentage Calc'!$E305,Transactions!N$19:N$46)</f>
        <v>0</v>
      </c>
      <c r="P305" s="28">
        <f>SUMIF(Transactions!$K$19:$K$46,'Percentage Calc'!$E305,Transactions!O$19:O$46)</f>
        <v>0</v>
      </c>
      <c r="Q305" s="28">
        <f>SUMIF(Transactions!$K$19:$K$46,'Percentage Calc'!$E305,Transactions!P$19:P$46)</f>
        <v>0</v>
      </c>
      <c r="R305" s="28">
        <f t="shared" si="28"/>
        <v>0</v>
      </c>
      <c r="S305" s="28">
        <f t="shared" si="29"/>
        <v>0</v>
      </c>
    </row>
    <row r="306" spans="1:19" x14ac:dyDescent="0.35">
      <c r="A306" s="9"/>
      <c r="B306" s="32"/>
      <c r="C306" s="28">
        <f>IF(Check!$B$87=1,1,IF(R306&lt;1,0,1))</f>
        <v>1</v>
      </c>
      <c r="D306" s="28">
        <f t="shared" si="25"/>
        <v>1</v>
      </c>
      <c r="E306" s="32">
        <v>46130</v>
      </c>
      <c r="F306" s="28">
        <f>SUMIF(Transactions!$C$18:$C$46,'Percentage Calc'!$E306,Transactions!D$18:D$46)</f>
        <v>0</v>
      </c>
      <c r="G306" s="28">
        <f>SUMIF(Transactions!$C$18:$C$46,'Percentage Calc'!$E306,Transactions!E$18:E$46)</f>
        <v>0</v>
      </c>
      <c r="H306" s="28">
        <f>SUMIF(Transactions!$C$18:$C$46,'Percentage Calc'!$E306,Transactions!F$18:F$46)</f>
        <v>0</v>
      </c>
      <c r="I306" s="28">
        <f>SUMIF(Transactions!$C$18:$C$46,'Percentage Calc'!$E306,Transactions!G$18:G$46)</f>
        <v>0</v>
      </c>
      <c r="J306" s="28">
        <f t="shared" si="26"/>
        <v>0</v>
      </c>
      <c r="K306" s="28">
        <f t="shared" si="27"/>
        <v>0</v>
      </c>
      <c r="L306" s="32"/>
      <c r="M306" s="28">
        <f>SUMIF(Transactions!$K$19:$K$46,'Percentage Calc'!$E306,Transactions!L$19:L$46)</f>
        <v>0</v>
      </c>
      <c r="N306" s="28">
        <f>SUMIF(Transactions!$K$19:$K$46,'Percentage Calc'!$E306,Transactions!M$19:M$46)</f>
        <v>0</v>
      </c>
      <c r="O306" s="28">
        <f>SUMIF(Transactions!$K$19:$K$46,'Percentage Calc'!$E306,Transactions!N$19:N$46)</f>
        <v>0</v>
      </c>
      <c r="P306" s="28">
        <f>SUMIF(Transactions!$K$19:$K$46,'Percentage Calc'!$E306,Transactions!O$19:O$46)</f>
        <v>0</v>
      </c>
      <c r="Q306" s="28">
        <f>SUMIF(Transactions!$K$19:$K$46,'Percentage Calc'!$E306,Transactions!P$19:P$46)</f>
        <v>0</v>
      </c>
      <c r="R306" s="28">
        <f t="shared" si="28"/>
        <v>0</v>
      </c>
      <c r="S306" s="28">
        <f t="shared" si="29"/>
        <v>0</v>
      </c>
    </row>
    <row r="307" spans="1:19" x14ac:dyDescent="0.35">
      <c r="A307" s="9"/>
      <c r="B307" s="32"/>
      <c r="C307" s="28">
        <f>IF(Check!$B$87=1,1,IF(R307&lt;1,0,1))</f>
        <v>1</v>
      </c>
      <c r="D307" s="28">
        <f t="shared" si="25"/>
        <v>1</v>
      </c>
      <c r="E307" s="32">
        <v>46131</v>
      </c>
      <c r="F307" s="28">
        <f>SUMIF(Transactions!$C$18:$C$46,'Percentage Calc'!$E307,Transactions!D$18:D$46)</f>
        <v>0</v>
      </c>
      <c r="G307" s="28">
        <f>SUMIF(Transactions!$C$18:$C$46,'Percentage Calc'!$E307,Transactions!E$18:E$46)</f>
        <v>0</v>
      </c>
      <c r="H307" s="28">
        <f>SUMIF(Transactions!$C$18:$C$46,'Percentage Calc'!$E307,Transactions!F$18:F$46)</f>
        <v>0</v>
      </c>
      <c r="I307" s="28">
        <f>SUMIF(Transactions!$C$18:$C$46,'Percentage Calc'!$E307,Transactions!G$18:G$46)</f>
        <v>0</v>
      </c>
      <c r="J307" s="28">
        <f t="shared" si="26"/>
        <v>0</v>
      </c>
      <c r="K307" s="28">
        <f t="shared" si="27"/>
        <v>0</v>
      </c>
      <c r="L307" s="32"/>
      <c r="M307" s="28">
        <f>SUMIF(Transactions!$K$19:$K$46,'Percentage Calc'!$E307,Transactions!L$19:L$46)</f>
        <v>0</v>
      </c>
      <c r="N307" s="28">
        <f>SUMIF(Transactions!$K$19:$K$46,'Percentage Calc'!$E307,Transactions!M$19:M$46)</f>
        <v>0</v>
      </c>
      <c r="O307" s="28">
        <f>SUMIF(Transactions!$K$19:$K$46,'Percentage Calc'!$E307,Transactions!N$19:N$46)</f>
        <v>0</v>
      </c>
      <c r="P307" s="28">
        <f>SUMIF(Transactions!$K$19:$K$46,'Percentage Calc'!$E307,Transactions!O$19:O$46)</f>
        <v>0</v>
      </c>
      <c r="Q307" s="28">
        <f>SUMIF(Transactions!$K$19:$K$46,'Percentage Calc'!$E307,Transactions!P$19:P$46)</f>
        <v>0</v>
      </c>
      <c r="R307" s="28">
        <f t="shared" si="28"/>
        <v>0</v>
      </c>
      <c r="S307" s="28">
        <f t="shared" si="29"/>
        <v>0</v>
      </c>
    </row>
    <row r="308" spans="1:19" x14ac:dyDescent="0.35">
      <c r="A308" s="9"/>
      <c r="B308" s="32"/>
      <c r="C308" s="28">
        <f>IF(Check!$B$87=1,1,IF(R308&lt;1,0,1))</f>
        <v>1</v>
      </c>
      <c r="D308" s="28">
        <f t="shared" si="25"/>
        <v>1</v>
      </c>
      <c r="E308" s="32">
        <v>46132</v>
      </c>
      <c r="F308" s="28">
        <f>SUMIF(Transactions!$C$18:$C$46,'Percentage Calc'!$E308,Transactions!D$18:D$46)</f>
        <v>0</v>
      </c>
      <c r="G308" s="28">
        <f>SUMIF(Transactions!$C$18:$C$46,'Percentage Calc'!$E308,Transactions!E$18:E$46)</f>
        <v>0</v>
      </c>
      <c r="H308" s="28">
        <f>SUMIF(Transactions!$C$18:$C$46,'Percentage Calc'!$E308,Transactions!F$18:F$46)</f>
        <v>0</v>
      </c>
      <c r="I308" s="28">
        <f>SUMIF(Transactions!$C$18:$C$46,'Percentage Calc'!$E308,Transactions!G$18:G$46)</f>
        <v>0</v>
      </c>
      <c r="J308" s="28">
        <f t="shared" si="26"/>
        <v>0</v>
      </c>
      <c r="K308" s="28">
        <f t="shared" si="27"/>
        <v>0</v>
      </c>
      <c r="L308" s="32"/>
      <c r="M308" s="28">
        <f>SUMIF(Transactions!$K$19:$K$46,'Percentage Calc'!$E308,Transactions!L$19:L$46)</f>
        <v>0</v>
      </c>
      <c r="N308" s="28">
        <f>SUMIF(Transactions!$K$19:$K$46,'Percentage Calc'!$E308,Transactions!M$19:M$46)</f>
        <v>0</v>
      </c>
      <c r="O308" s="28">
        <f>SUMIF(Transactions!$K$19:$K$46,'Percentage Calc'!$E308,Transactions!N$19:N$46)</f>
        <v>0</v>
      </c>
      <c r="P308" s="28">
        <f>SUMIF(Transactions!$K$19:$K$46,'Percentage Calc'!$E308,Transactions!O$19:O$46)</f>
        <v>0</v>
      </c>
      <c r="Q308" s="28">
        <f>SUMIF(Transactions!$K$19:$K$46,'Percentage Calc'!$E308,Transactions!P$19:P$46)</f>
        <v>0</v>
      </c>
      <c r="R308" s="28">
        <f t="shared" si="28"/>
        <v>0</v>
      </c>
      <c r="S308" s="28">
        <f t="shared" si="29"/>
        <v>0</v>
      </c>
    </row>
    <row r="309" spans="1:19" x14ac:dyDescent="0.35">
      <c r="A309" s="9"/>
      <c r="B309" s="32"/>
      <c r="C309" s="28">
        <f>IF(Check!$B$87=1,1,IF(R309&lt;1,0,1))</f>
        <v>1</v>
      </c>
      <c r="D309" s="28">
        <f t="shared" si="25"/>
        <v>1</v>
      </c>
      <c r="E309" s="32">
        <v>46133</v>
      </c>
      <c r="F309" s="28">
        <f>SUMIF(Transactions!$C$18:$C$46,'Percentage Calc'!$E309,Transactions!D$18:D$46)</f>
        <v>0</v>
      </c>
      <c r="G309" s="28">
        <f>SUMIF(Transactions!$C$18:$C$46,'Percentage Calc'!$E309,Transactions!E$18:E$46)</f>
        <v>0</v>
      </c>
      <c r="H309" s="28">
        <f>SUMIF(Transactions!$C$18:$C$46,'Percentage Calc'!$E309,Transactions!F$18:F$46)</f>
        <v>0</v>
      </c>
      <c r="I309" s="28">
        <f>SUMIF(Transactions!$C$18:$C$46,'Percentage Calc'!$E309,Transactions!G$18:G$46)</f>
        <v>0</v>
      </c>
      <c r="J309" s="28">
        <f t="shared" si="26"/>
        <v>0</v>
      </c>
      <c r="K309" s="28">
        <f t="shared" si="27"/>
        <v>0</v>
      </c>
      <c r="L309" s="32"/>
      <c r="M309" s="28">
        <f>SUMIF(Transactions!$K$19:$K$46,'Percentage Calc'!$E309,Transactions!L$19:L$46)</f>
        <v>0</v>
      </c>
      <c r="N309" s="28">
        <f>SUMIF(Transactions!$K$19:$K$46,'Percentage Calc'!$E309,Transactions!M$19:M$46)</f>
        <v>0</v>
      </c>
      <c r="O309" s="28">
        <f>SUMIF(Transactions!$K$19:$K$46,'Percentage Calc'!$E309,Transactions!N$19:N$46)</f>
        <v>0</v>
      </c>
      <c r="P309" s="28">
        <f>SUMIF(Transactions!$K$19:$K$46,'Percentage Calc'!$E309,Transactions!O$19:O$46)</f>
        <v>0</v>
      </c>
      <c r="Q309" s="28">
        <f>SUMIF(Transactions!$K$19:$K$46,'Percentage Calc'!$E309,Transactions!P$19:P$46)</f>
        <v>0</v>
      </c>
      <c r="R309" s="28">
        <f t="shared" si="28"/>
        <v>0</v>
      </c>
      <c r="S309" s="28">
        <f t="shared" si="29"/>
        <v>0</v>
      </c>
    </row>
    <row r="310" spans="1:19" x14ac:dyDescent="0.35">
      <c r="A310" s="9"/>
      <c r="B310" s="32"/>
      <c r="C310" s="28">
        <f>IF(Check!$B$87=1,1,IF(R310&lt;1,0,1))</f>
        <v>1</v>
      </c>
      <c r="D310" s="28">
        <f t="shared" si="25"/>
        <v>1</v>
      </c>
      <c r="E310" s="32">
        <v>46134</v>
      </c>
      <c r="F310" s="28">
        <f>SUMIF(Transactions!$C$18:$C$46,'Percentage Calc'!$E310,Transactions!D$18:D$46)</f>
        <v>0</v>
      </c>
      <c r="G310" s="28">
        <f>SUMIF(Transactions!$C$18:$C$46,'Percentage Calc'!$E310,Transactions!E$18:E$46)</f>
        <v>0</v>
      </c>
      <c r="H310" s="28">
        <f>SUMIF(Transactions!$C$18:$C$46,'Percentage Calc'!$E310,Transactions!F$18:F$46)</f>
        <v>0</v>
      </c>
      <c r="I310" s="28">
        <f>SUMIF(Transactions!$C$18:$C$46,'Percentage Calc'!$E310,Transactions!G$18:G$46)</f>
        <v>0</v>
      </c>
      <c r="J310" s="28">
        <f t="shared" si="26"/>
        <v>0</v>
      </c>
      <c r="K310" s="28">
        <f t="shared" si="27"/>
        <v>0</v>
      </c>
      <c r="L310" s="32"/>
      <c r="M310" s="28">
        <f>SUMIF(Transactions!$K$19:$K$46,'Percentage Calc'!$E310,Transactions!L$19:L$46)</f>
        <v>0</v>
      </c>
      <c r="N310" s="28">
        <f>SUMIF(Transactions!$K$19:$K$46,'Percentage Calc'!$E310,Transactions!M$19:M$46)</f>
        <v>0</v>
      </c>
      <c r="O310" s="28">
        <f>SUMIF(Transactions!$K$19:$K$46,'Percentage Calc'!$E310,Transactions!N$19:N$46)</f>
        <v>0</v>
      </c>
      <c r="P310" s="28">
        <f>SUMIF(Transactions!$K$19:$K$46,'Percentage Calc'!$E310,Transactions!O$19:O$46)</f>
        <v>0</v>
      </c>
      <c r="Q310" s="28">
        <f>SUMIF(Transactions!$K$19:$K$46,'Percentage Calc'!$E310,Transactions!P$19:P$46)</f>
        <v>0</v>
      </c>
      <c r="R310" s="28">
        <f t="shared" si="28"/>
        <v>0</v>
      </c>
      <c r="S310" s="28">
        <f t="shared" si="29"/>
        <v>0</v>
      </c>
    </row>
    <row r="311" spans="1:19" x14ac:dyDescent="0.35">
      <c r="A311" s="9"/>
      <c r="B311" s="32"/>
      <c r="C311" s="28">
        <f>IF(Check!$B$87=1,1,IF(R311&lt;1,0,1))</f>
        <v>1</v>
      </c>
      <c r="D311" s="28">
        <f t="shared" si="25"/>
        <v>1</v>
      </c>
      <c r="E311" s="32">
        <v>46135</v>
      </c>
      <c r="F311" s="28">
        <f>SUMIF(Transactions!$C$18:$C$46,'Percentage Calc'!$E311,Transactions!D$18:D$46)</f>
        <v>0</v>
      </c>
      <c r="G311" s="28">
        <f>SUMIF(Transactions!$C$18:$C$46,'Percentage Calc'!$E311,Transactions!E$18:E$46)</f>
        <v>0</v>
      </c>
      <c r="H311" s="28">
        <f>SUMIF(Transactions!$C$18:$C$46,'Percentage Calc'!$E311,Transactions!F$18:F$46)</f>
        <v>0</v>
      </c>
      <c r="I311" s="28">
        <f>SUMIF(Transactions!$C$18:$C$46,'Percentage Calc'!$E311,Transactions!G$18:G$46)</f>
        <v>0</v>
      </c>
      <c r="J311" s="28">
        <f t="shared" si="26"/>
        <v>0</v>
      </c>
      <c r="K311" s="28">
        <f t="shared" si="27"/>
        <v>0</v>
      </c>
      <c r="L311" s="32"/>
      <c r="M311" s="28">
        <f>SUMIF(Transactions!$K$19:$K$46,'Percentage Calc'!$E311,Transactions!L$19:L$46)</f>
        <v>0</v>
      </c>
      <c r="N311" s="28">
        <f>SUMIF(Transactions!$K$19:$K$46,'Percentage Calc'!$E311,Transactions!M$19:M$46)</f>
        <v>0</v>
      </c>
      <c r="O311" s="28">
        <f>SUMIF(Transactions!$K$19:$K$46,'Percentage Calc'!$E311,Transactions!N$19:N$46)</f>
        <v>0</v>
      </c>
      <c r="P311" s="28">
        <f>SUMIF(Transactions!$K$19:$K$46,'Percentage Calc'!$E311,Transactions!O$19:O$46)</f>
        <v>0</v>
      </c>
      <c r="Q311" s="28">
        <f>SUMIF(Transactions!$K$19:$K$46,'Percentage Calc'!$E311,Transactions!P$19:P$46)</f>
        <v>0</v>
      </c>
      <c r="R311" s="28">
        <f t="shared" si="28"/>
        <v>0</v>
      </c>
      <c r="S311" s="28">
        <f t="shared" si="29"/>
        <v>0</v>
      </c>
    </row>
    <row r="312" spans="1:19" x14ac:dyDescent="0.35">
      <c r="A312" s="9"/>
      <c r="B312" s="32"/>
      <c r="C312" s="28">
        <f>IF(Check!$B$87=1,1,IF(R312&lt;1,0,1))</f>
        <v>1</v>
      </c>
      <c r="D312" s="28">
        <f t="shared" si="25"/>
        <v>1</v>
      </c>
      <c r="E312" s="32">
        <v>46136</v>
      </c>
      <c r="F312" s="28">
        <f>SUMIF(Transactions!$C$18:$C$46,'Percentage Calc'!$E312,Transactions!D$18:D$46)</f>
        <v>0</v>
      </c>
      <c r="G312" s="28">
        <f>SUMIF(Transactions!$C$18:$C$46,'Percentage Calc'!$E312,Transactions!E$18:E$46)</f>
        <v>0</v>
      </c>
      <c r="H312" s="28">
        <f>SUMIF(Transactions!$C$18:$C$46,'Percentage Calc'!$E312,Transactions!F$18:F$46)</f>
        <v>0</v>
      </c>
      <c r="I312" s="28">
        <f>SUMIF(Transactions!$C$18:$C$46,'Percentage Calc'!$E312,Transactions!G$18:G$46)</f>
        <v>0</v>
      </c>
      <c r="J312" s="28">
        <f t="shared" si="26"/>
        <v>0</v>
      </c>
      <c r="K312" s="28">
        <f t="shared" si="27"/>
        <v>0</v>
      </c>
      <c r="L312" s="32"/>
      <c r="M312" s="28">
        <f>SUMIF(Transactions!$K$19:$K$46,'Percentage Calc'!$E312,Transactions!L$19:L$46)</f>
        <v>0</v>
      </c>
      <c r="N312" s="28">
        <f>SUMIF(Transactions!$K$19:$K$46,'Percentage Calc'!$E312,Transactions!M$19:M$46)</f>
        <v>0</v>
      </c>
      <c r="O312" s="28">
        <f>SUMIF(Transactions!$K$19:$K$46,'Percentage Calc'!$E312,Transactions!N$19:N$46)</f>
        <v>0</v>
      </c>
      <c r="P312" s="28">
        <f>SUMIF(Transactions!$K$19:$K$46,'Percentage Calc'!$E312,Transactions!O$19:O$46)</f>
        <v>0</v>
      </c>
      <c r="Q312" s="28">
        <f>SUMIF(Transactions!$K$19:$K$46,'Percentage Calc'!$E312,Transactions!P$19:P$46)</f>
        <v>0</v>
      </c>
      <c r="R312" s="28">
        <f t="shared" si="28"/>
        <v>0</v>
      </c>
      <c r="S312" s="28">
        <f t="shared" si="29"/>
        <v>0</v>
      </c>
    </row>
    <row r="313" spans="1:19" x14ac:dyDescent="0.35">
      <c r="A313" s="9"/>
      <c r="B313" s="32"/>
      <c r="C313" s="28">
        <f>IF(Check!$B$87=1,1,IF(R313&lt;1,0,1))</f>
        <v>1</v>
      </c>
      <c r="D313" s="28">
        <f t="shared" si="25"/>
        <v>1</v>
      </c>
      <c r="E313" s="32">
        <v>46137</v>
      </c>
      <c r="F313" s="28">
        <f>SUMIF(Transactions!$C$18:$C$46,'Percentage Calc'!$E313,Transactions!D$18:D$46)</f>
        <v>0</v>
      </c>
      <c r="G313" s="28">
        <f>SUMIF(Transactions!$C$18:$C$46,'Percentage Calc'!$E313,Transactions!E$18:E$46)</f>
        <v>0</v>
      </c>
      <c r="H313" s="28">
        <f>SUMIF(Transactions!$C$18:$C$46,'Percentage Calc'!$E313,Transactions!F$18:F$46)</f>
        <v>0</v>
      </c>
      <c r="I313" s="28">
        <f>SUMIF(Transactions!$C$18:$C$46,'Percentage Calc'!$E313,Transactions!G$18:G$46)</f>
        <v>0</v>
      </c>
      <c r="J313" s="28">
        <f t="shared" si="26"/>
        <v>0</v>
      </c>
      <c r="K313" s="28">
        <f t="shared" si="27"/>
        <v>0</v>
      </c>
      <c r="L313" s="32"/>
      <c r="M313" s="28">
        <f>SUMIF(Transactions!$K$19:$K$46,'Percentage Calc'!$E313,Transactions!L$19:L$46)</f>
        <v>0</v>
      </c>
      <c r="N313" s="28">
        <f>SUMIF(Transactions!$K$19:$K$46,'Percentage Calc'!$E313,Transactions!M$19:M$46)</f>
        <v>0</v>
      </c>
      <c r="O313" s="28">
        <f>SUMIF(Transactions!$K$19:$K$46,'Percentage Calc'!$E313,Transactions!N$19:N$46)</f>
        <v>0</v>
      </c>
      <c r="P313" s="28">
        <f>SUMIF(Transactions!$K$19:$K$46,'Percentage Calc'!$E313,Transactions!O$19:O$46)</f>
        <v>0</v>
      </c>
      <c r="Q313" s="28">
        <f>SUMIF(Transactions!$K$19:$K$46,'Percentage Calc'!$E313,Transactions!P$19:P$46)</f>
        <v>0</v>
      </c>
      <c r="R313" s="28">
        <f t="shared" si="28"/>
        <v>0</v>
      </c>
      <c r="S313" s="28">
        <f t="shared" si="29"/>
        <v>0</v>
      </c>
    </row>
    <row r="314" spans="1:19" x14ac:dyDescent="0.35">
      <c r="A314" s="9"/>
      <c r="B314" s="32"/>
      <c r="C314" s="28">
        <f>IF(Check!$B$87=1,1,IF(R314&lt;1,0,1))</f>
        <v>1</v>
      </c>
      <c r="D314" s="28">
        <f t="shared" si="25"/>
        <v>1</v>
      </c>
      <c r="E314" s="32">
        <v>46138</v>
      </c>
      <c r="F314" s="28">
        <f>SUMIF(Transactions!$C$18:$C$46,'Percentage Calc'!$E314,Transactions!D$18:D$46)</f>
        <v>0</v>
      </c>
      <c r="G314" s="28">
        <f>SUMIF(Transactions!$C$18:$C$46,'Percentage Calc'!$E314,Transactions!E$18:E$46)</f>
        <v>0</v>
      </c>
      <c r="H314" s="28">
        <f>SUMIF(Transactions!$C$18:$C$46,'Percentage Calc'!$E314,Transactions!F$18:F$46)</f>
        <v>0</v>
      </c>
      <c r="I314" s="28">
        <f>SUMIF(Transactions!$C$18:$C$46,'Percentage Calc'!$E314,Transactions!G$18:G$46)</f>
        <v>0</v>
      </c>
      <c r="J314" s="28">
        <f t="shared" si="26"/>
        <v>0</v>
      </c>
      <c r="K314" s="28">
        <f t="shared" si="27"/>
        <v>0</v>
      </c>
      <c r="L314" s="32"/>
      <c r="M314" s="28">
        <f>SUMIF(Transactions!$K$19:$K$46,'Percentage Calc'!$E314,Transactions!L$19:L$46)</f>
        <v>0</v>
      </c>
      <c r="N314" s="28">
        <f>SUMIF(Transactions!$K$19:$K$46,'Percentage Calc'!$E314,Transactions!M$19:M$46)</f>
        <v>0</v>
      </c>
      <c r="O314" s="28">
        <f>SUMIF(Transactions!$K$19:$K$46,'Percentage Calc'!$E314,Transactions!N$19:N$46)</f>
        <v>0</v>
      </c>
      <c r="P314" s="28">
        <f>SUMIF(Transactions!$K$19:$K$46,'Percentage Calc'!$E314,Transactions!O$19:O$46)</f>
        <v>0</v>
      </c>
      <c r="Q314" s="28">
        <f>SUMIF(Transactions!$K$19:$K$46,'Percentage Calc'!$E314,Transactions!P$19:P$46)</f>
        <v>0</v>
      </c>
      <c r="R314" s="28">
        <f t="shared" si="28"/>
        <v>0</v>
      </c>
      <c r="S314" s="28">
        <f t="shared" si="29"/>
        <v>0</v>
      </c>
    </row>
    <row r="315" spans="1:19" x14ac:dyDescent="0.35">
      <c r="A315" s="9"/>
      <c r="B315" s="32"/>
      <c r="C315" s="28">
        <f>IF(Check!$B$87=1,1,IF(R315&lt;1,0,1))</f>
        <v>1</v>
      </c>
      <c r="D315" s="28">
        <f t="shared" si="25"/>
        <v>1</v>
      </c>
      <c r="E315" s="32">
        <v>46139</v>
      </c>
      <c r="F315" s="28">
        <f>SUMIF(Transactions!$C$18:$C$46,'Percentage Calc'!$E315,Transactions!D$18:D$46)</f>
        <v>0</v>
      </c>
      <c r="G315" s="28">
        <f>SUMIF(Transactions!$C$18:$C$46,'Percentage Calc'!$E315,Transactions!E$18:E$46)</f>
        <v>0</v>
      </c>
      <c r="H315" s="28">
        <f>SUMIF(Transactions!$C$18:$C$46,'Percentage Calc'!$E315,Transactions!F$18:F$46)</f>
        <v>0</v>
      </c>
      <c r="I315" s="28">
        <f>SUMIF(Transactions!$C$18:$C$46,'Percentage Calc'!$E315,Transactions!G$18:G$46)</f>
        <v>0</v>
      </c>
      <c r="J315" s="28">
        <f t="shared" si="26"/>
        <v>0</v>
      </c>
      <c r="K315" s="28">
        <f t="shared" si="27"/>
        <v>0</v>
      </c>
      <c r="L315" s="32"/>
      <c r="M315" s="28">
        <f>SUMIF(Transactions!$K$19:$K$46,'Percentage Calc'!$E315,Transactions!L$19:L$46)</f>
        <v>0</v>
      </c>
      <c r="N315" s="28">
        <f>SUMIF(Transactions!$K$19:$K$46,'Percentage Calc'!$E315,Transactions!M$19:M$46)</f>
        <v>0</v>
      </c>
      <c r="O315" s="28">
        <f>SUMIF(Transactions!$K$19:$K$46,'Percentage Calc'!$E315,Transactions!N$19:N$46)</f>
        <v>0</v>
      </c>
      <c r="P315" s="28">
        <f>SUMIF(Transactions!$K$19:$K$46,'Percentage Calc'!$E315,Transactions!O$19:O$46)</f>
        <v>0</v>
      </c>
      <c r="Q315" s="28">
        <f>SUMIF(Transactions!$K$19:$K$46,'Percentage Calc'!$E315,Transactions!P$19:P$46)</f>
        <v>0</v>
      </c>
      <c r="R315" s="28">
        <f t="shared" si="28"/>
        <v>0</v>
      </c>
      <c r="S315" s="28">
        <f t="shared" si="29"/>
        <v>0</v>
      </c>
    </row>
    <row r="316" spans="1:19" x14ac:dyDescent="0.35">
      <c r="A316" s="9"/>
      <c r="B316" s="32"/>
      <c r="C316" s="28">
        <f>IF(Check!$B$87=1,1,IF(R316&lt;1,0,1))</f>
        <v>1</v>
      </c>
      <c r="D316" s="28">
        <f t="shared" si="25"/>
        <v>1</v>
      </c>
      <c r="E316" s="32">
        <v>46140</v>
      </c>
      <c r="F316" s="28">
        <f>SUMIF(Transactions!$C$18:$C$46,'Percentage Calc'!$E316,Transactions!D$18:D$46)</f>
        <v>0</v>
      </c>
      <c r="G316" s="28">
        <f>SUMIF(Transactions!$C$18:$C$46,'Percentage Calc'!$E316,Transactions!E$18:E$46)</f>
        <v>0</v>
      </c>
      <c r="H316" s="28">
        <f>SUMIF(Transactions!$C$18:$C$46,'Percentage Calc'!$E316,Transactions!F$18:F$46)</f>
        <v>0</v>
      </c>
      <c r="I316" s="28">
        <f>SUMIF(Transactions!$C$18:$C$46,'Percentage Calc'!$E316,Transactions!G$18:G$46)</f>
        <v>0</v>
      </c>
      <c r="J316" s="28">
        <f t="shared" si="26"/>
        <v>0</v>
      </c>
      <c r="K316" s="28">
        <f t="shared" si="27"/>
        <v>0</v>
      </c>
      <c r="L316" s="32"/>
      <c r="M316" s="28">
        <f>SUMIF(Transactions!$K$19:$K$46,'Percentage Calc'!$E316,Transactions!L$19:L$46)</f>
        <v>0</v>
      </c>
      <c r="N316" s="28">
        <f>SUMIF(Transactions!$K$19:$K$46,'Percentage Calc'!$E316,Transactions!M$19:M$46)</f>
        <v>0</v>
      </c>
      <c r="O316" s="28">
        <f>SUMIF(Transactions!$K$19:$K$46,'Percentage Calc'!$E316,Transactions!N$19:N$46)</f>
        <v>0</v>
      </c>
      <c r="P316" s="28">
        <f>SUMIF(Transactions!$K$19:$K$46,'Percentage Calc'!$E316,Transactions!O$19:O$46)</f>
        <v>0</v>
      </c>
      <c r="Q316" s="28">
        <f>SUMIF(Transactions!$K$19:$K$46,'Percentage Calc'!$E316,Transactions!P$19:P$46)</f>
        <v>0</v>
      </c>
      <c r="R316" s="28">
        <f t="shared" si="28"/>
        <v>0</v>
      </c>
      <c r="S316" s="28">
        <f t="shared" si="29"/>
        <v>0</v>
      </c>
    </row>
    <row r="317" spans="1:19" x14ac:dyDescent="0.35">
      <c r="A317" s="9"/>
      <c r="B317" s="32"/>
      <c r="C317" s="28">
        <f>IF(Check!$B$87=1,1,IF(R317&lt;1,0,1))</f>
        <v>1</v>
      </c>
      <c r="D317" s="28">
        <f t="shared" si="25"/>
        <v>1</v>
      </c>
      <c r="E317" s="32">
        <v>46141</v>
      </c>
      <c r="F317" s="28">
        <f>SUMIF(Transactions!$C$18:$C$46,'Percentage Calc'!$E317,Transactions!D$18:D$46)</f>
        <v>0</v>
      </c>
      <c r="G317" s="28">
        <f>SUMIF(Transactions!$C$18:$C$46,'Percentage Calc'!$E317,Transactions!E$18:E$46)</f>
        <v>0</v>
      </c>
      <c r="H317" s="28">
        <f>SUMIF(Transactions!$C$18:$C$46,'Percentage Calc'!$E317,Transactions!F$18:F$46)</f>
        <v>0</v>
      </c>
      <c r="I317" s="28">
        <f>SUMIF(Transactions!$C$18:$C$46,'Percentage Calc'!$E317,Transactions!G$18:G$46)</f>
        <v>0</v>
      </c>
      <c r="J317" s="28">
        <f t="shared" si="26"/>
        <v>0</v>
      </c>
      <c r="K317" s="28">
        <f t="shared" si="27"/>
        <v>0</v>
      </c>
      <c r="L317" s="32"/>
      <c r="M317" s="28">
        <f>SUMIF(Transactions!$K$19:$K$46,'Percentage Calc'!$E317,Transactions!L$19:L$46)</f>
        <v>0</v>
      </c>
      <c r="N317" s="28">
        <f>SUMIF(Transactions!$K$19:$K$46,'Percentage Calc'!$E317,Transactions!M$19:M$46)</f>
        <v>0</v>
      </c>
      <c r="O317" s="28">
        <f>SUMIF(Transactions!$K$19:$K$46,'Percentage Calc'!$E317,Transactions!N$19:N$46)</f>
        <v>0</v>
      </c>
      <c r="P317" s="28">
        <f>SUMIF(Transactions!$K$19:$K$46,'Percentage Calc'!$E317,Transactions!O$19:O$46)</f>
        <v>0</v>
      </c>
      <c r="Q317" s="28">
        <f>SUMIF(Transactions!$K$19:$K$46,'Percentage Calc'!$E317,Transactions!P$19:P$46)</f>
        <v>0</v>
      </c>
      <c r="R317" s="28">
        <f t="shared" si="28"/>
        <v>0</v>
      </c>
      <c r="S317" s="28">
        <f t="shared" si="29"/>
        <v>0</v>
      </c>
    </row>
    <row r="318" spans="1:19" x14ac:dyDescent="0.35">
      <c r="A318" s="9"/>
      <c r="B318" s="32"/>
      <c r="C318" s="28">
        <f>IF(Check!$B$87=1,1,IF(R318&lt;1,0,1))</f>
        <v>1</v>
      </c>
      <c r="D318" s="28">
        <f t="shared" si="25"/>
        <v>1</v>
      </c>
      <c r="E318" s="32">
        <v>46142</v>
      </c>
      <c r="F318" s="28">
        <f>SUMIF(Transactions!$C$18:$C$46,'Percentage Calc'!$E318,Transactions!D$18:D$46)</f>
        <v>0</v>
      </c>
      <c r="G318" s="28">
        <f>SUMIF(Transactions!$C$18:$C$46,'Percentage Calc'!$E318,Transactions!E$18:E$46)</f>
        <v>0</v>
      </c>
      <c r="H318" s="28">
        <f>SUMIF(Transactions!$C$18:$C$46,'Percentage Calc'!$E318,Transactions!F$18:F$46)</f>
        <v>0</v>
      </c>
      <c r="I318" s="28">
        <f>SUMIF(Transactions!$C$18:$C$46,'Percentage Calc'!$E318,Transactions!G$18:G$46)</f>
        <v>0</v>
      </c>
      <c r="J318" s="28">
        <f t="shared" si="26"/>
        <v>0</v>
      </c>
      <c r="K318" s="28">
        <f t="shared" si="27"/>
        <v>0</v>
      </c>
      <c r="L318" s="32"/>
      <c r="M318" s="28">
        <f>SUMIF(Transactions!$K$19:$K$46,'Percentage Calc'!$E318,Transactions!L$19:L$46)</f>
        <v>0</v>
      </c>
      <c r="N318" s="28">
        <f>SUMIF(Transactions!$K$19:$K$46,'Percentage Calc'!$E318,Transactions!M$19:M$46)</f>
        <v>0</v>
      </c>
      <c r="O318" s="28">
        <f>SUMIF(Transactions!$K$19:$K$46,'Percentage Calc'!$E318,Transactions!N$19:N$46)</f>
        <v>0</v>
      </c>
      <c r="P318" s="28">
        <f>SUMIF(Transactions!$K$19:$K$46,'Percentage Calc'!$E318,Transactions!O$19:O$46)</f>
        <v>0</v>
      </c>
      <c r="Q318" s="28">
        <f>SUMIF(Transactions!$K$19:$K$46,'Percentage Calc'!$E318,Transactions!P$19:P$46)</f>
        <v>0</v>
      </c>
      <c r="R318" s="28">
        <f t="shared" si="28"/>
        <v>0</v>
      </c>
      <c r="S318" s="28">
        <f t="shared" si="29"/>
        <v>0</v>
      </c>
    </row>
    <row r="319" spans="1:19" x14ac:dyDescent="0.35">
      <c r="A319" s="9"/>
      <c r="B319" s="32"/>
      <c r="C319" s="28">
        <f>IF(Check!$B$87=1,1,IF(R319&lt;1,0,1))</f>
        <v>1</v>
      </c>
      <c r="D319" s="28">
        <f t="shared" si="25"/>
        <v>1</v>
      </c>
      <c r="E319" s="32">
        <v>46143</v>
      </c>
      <c r="F319" s="28">
        <f>SUMIF(Transactions!$C$18:$C$46,'Percentage Calc'!$E319,Transactions!D$18:D$46)</f>
        <v>0</v>
      </c>
      <c r="G319" s="28">
        <f>SUMIF(Transactions!$C$18:$C$46,'Percentage Calc'!$E319,Transactions!E$18:E$46)</f>
        <v>0</v>
      </c>
      <c r="H319" s="28">
        <f>SUMIF(Transactions!$C$18:$C$46,'Percentage Calc'!$E319,Transactions!F$18:F$46)</f>
        <v>0</v>
      </c>
      <c r="I319" s="28">
        <f>SUMIF(Transactions!$C$18:$C$46,'Percentage Calc'!$E319,Transactions!G$18:G$46)</f>
        <v>0</v>
      </c>
      <c r="J319" s="28">
        <f t="shared" si="26"/>
        <v>0</v>
      </c>
      <c r="K319" s="28">
        <f t="shared" si="27"/>
        <v>0</v>
      </c>
      <c r="L319" s="32"/>
      <c r="M319" s="28">
        <f>SUMIF(Transactions!$K$19:$K$46,'Percentage Calc'!$E319,Transactions!L$19:L$46)</f>
        <v>0</v>
      </c>
      <c r="N319" s="28">
        <f>SUMIF(Transactions!$K$19:$K$46,'Percentage Calc'!$E319,Transactions!M$19:M$46)</f>
        <v>0</v>
      </c>
      <c r="O319" s="28">
        <f>SUMIF(Transactions!$K$19:$K$46,'Percentage Calc'!$E319,Transactions!N$19:N$46)</f>
        <v>0</v>
      </c>
      <c r="P319" s="28">
        <f>SUMIF(Transactions!$K$19:$K$46,'Percentage Calc'!$E319,Transactions!O$19:O$46)</f>
        <v>0</v>
      </c>
      <c r="Q319" s="28">
        <f>SUMIF(Transactions!$K$19:$K$46,'Percentage Calc'!$E319,Transactions!P$19:P$46)</f>
        <v>0</v>
      </c>
      <c r="R319" s="28">
        <f t="shared" si="28"/>
        <v>0</v>
      </c>
      <c r="S319" s="28">
        <f t="shared" si="29"/>
        <v>0</v>
      </c>
    </row>
    <row r="320" spans="1:19" x14ac:dyDescent="0.35">
      <c r="A320" s="9"/>
      <c r="B320" s="32"/>
      <c r="C320" s="28">
        <f>IF(Check!$B$87=1,1,IF(R320&lt;1,0,1))</f>
        <v>1</v>
      </c>
      <c r="D320" s="28">
        <f t="shared" si="25"/>
        <v>1</v>
      </c>
      <c r="E320" s="32">
        <v>46144</v>
      </c>
      <c r="F320" s="28">
        <f>SUMIF(Transactions!$C$18:$C$46,'Percentage Calc'!$E320,Transactions!D$18:D$46)</f>
        <v>0</v>
      </c>
      <c r="G320" s="28">
        <f>SUMIF(Transactions!$C$18:$C$46,'Percentage Calc'!$E320,Transactions!E$18:E$46)</f>
        <v>0</v>
      </c>
      <c r="H320" s="28">
        <f>SUMIF(Transactions!$C$18:$C$46,'Percentage Calc'!$E320,Transactions!F$18:F$46)</f>
        <v>0</v>
      </c>
      <c r="I320" s="28">
        <f>SUMIF(Transactions!$C$18:$C$46,'Percentage Calc'!$E320,Transactions!G$18:G$46)</f>
        <v>0</v>
      </c>
      <c r="J320" s="28">
        <f t="shared" si="26"/>
        <v>0</v>
      </c>
      <c r="K320" s="28">
        <f t="shared" si="27"/>
        <v>0</v>
      </c>
      <c r="L320" s="32"/>
      <c r="M320" s="28">
        <f>SUMIF(Transactions!$K$19:$K$46,'Percentage Calc'!$E320,Transactions!L$19:L$46)</f>
        <v>0</v>
      </c>
      <c r="N320" s="28">
        <f>SUMIF(Transactions!$K$19:$K$46,'Percentage Calc'!$E320,Transactions!M$19:M$46)</f>
        <v>0</v>
      </c>
      <c r="O320" s="28">
        <f>SUMIF(Transactions!$K$19:$K$46,'Percentage Calc'!$E320,Transactions!N$19:N$46)</f>
        <v>0</v>
      </c>
      <c r="P320" s="28">
        <f>SUMIF(Transactions!$K$19:$K$46,'Percentage Calc'!$E320,Transactions!O$19:O$46)</f>
        <v>0</v>
      </c>
      <c r="Q320" s="28">
        <f>SUMIF(Transactions!$K$19:$K$46,'Percentage Calc'!$E320,Transactions!P$19:P$46)</f>
        <v>0</v>
      </c>
      <c r="R320" s="28">
        <f t="shared" si="28"/>
        <v>0</v>
      </c>
      <c r="S320" s="28">
        <f t="shared" si="29"/>
        <v>0</v>
      </c>
    </row>
    <row r="321" spans="1:19" x14ac:dyDescent="0.35">
      <c r="A321" s="9"/>
      <c r="B321" s="32"/>
      <c r="C321" s="28">
        <f>IF(Check!$B$87=1,1,IF(R321&lt;1,0,1))</f>
        <v>1</v>
      </c>
      <c r="D321" s="28">
        <f t="shared" si="25"/>
        <v>1</v>
      </c>
      <c r="E321" s="32">
        <v>46145</v>
      </c>
      <c r="F321" s="28">
        <f>SUMIF(Transactions!$C$18:$C$46,'Percentage Calc'!$E321,Transactions!D$18:D$46)</f>
        <v>0</v>
      </c>
      <c r="G321" s="28">
        <f>SUMIF(Transactions!$C$18:$C$46,'Percentage Calc'!$E321,Transactions!E$18:E$46)</f>
        <v>0</v>
      </c>
      <c r="H321" s="28">
        <f>SUMIF(Transactions!$C$18:$C$46,'Percentage Calc'!$E321,Transactions!F$18:F$46)</f>
        <v>0</v>
      </c>
      <c r="I321" s="28">
        <f>SUMIF(Transactions!$C$18:$C$46,'Percentage Calc'!$E321,Transactions!G$18:G$46)</f>
        <v>0</v>
      </c>
      <c r="J321" s="28">
        <f t="shared" si="26"/>
        <v>0</v>
      </c>
      <c r="K321" s="28">
        <f t="shared" si="27"/>
        <v>0</v>
      </c>
      <c r="L321" s="32"/>
      <c r="M321" s="28">
        <f>SUMIF(Transactions!$K$19:$K$46,'Percentage Calc'!$E321,Transactions!L$19:L$46)</f>
        <v>0</v>
      </c>
      <c r="N321" s="28">
        <f>SUMIF(Transactions!$K$19:$K$46,'Percentage Calc'!$E321,Transactions!M$19:M$46)</f>
        <v>0</v>
      </c>
      <c r="O321" s="28">
        <f>SUMIF(Transactions!$K$19:$K$46,'Percentage Calc'!$E321,Transactions!N$19:N$46)</f>
        <v>0</v>
      </c>
      <c r="P321" s="28">
        <f>SUMIF(Transactions!$K$19:$K$46,'Percentage Calc'!$E321,Transactions!O$19:O$46)</f>
        <v>0</v>
      </c>
      <c r="Q321" s="28">
        <f>SUMIF(Transactions!$K$19:$K$46,'Percentage Calc'!$E321,Transactions!P$19:P$46)</f>
        <v>0</v>
      </c>
      <c r="R321" s="28">
        <f t="shared" si="28"/>
        <v>0</v>
      </c>
      <c r="S321" s="28">
        <f t="shared" si="29"/>
        <v>0</v>
      </c>
    </row>
    <row r="322" spans="1:19" x14ac:dyDescent="0.35">
      <c r="A322" s="9"/>
      <c r="B322" s="32"/>
      <c r="C322" s="28">
        <f>IF(Check!$B$87=1,1,IF(R322&lt;1,0,1))</f>
        <v>1</v>
      </c>
      <c r="D322" s="28">
        <f t="shared" si="25"/>
        <v>1</v>
      </c>
      <c r="E322" s="32">
        <v>46146</v>
      </c>
      <c r="F322" s="28">
        <f>SUMIF(Transactions!$C$18:$C$46,'Percentage Calc'!$E322,Transactions!D$18:D$46)</f>
        <v>0</v>
      </c>
      <c r="G322" s="28">
        <f>SUMIF(Transactions!$C$18:$C$46,'Percentage Calc'!$E322,Transactions!E$18:E$46)</f>
        <v>0</v>
      </c>
      <c r="H322" s="28">
        <f>SUMIF(Transactions!$C$18:$C$46,'Percentage Calc'!$E322,Transactions!F$18:F$46)</f>
        <v>0</v>
      </c>
      <c r="I322" s="28">
        <f>SUMIF(Transactions!$C$18:$C$46,'Percentage Calc'!$E322,Transactions!G$18:G$46)</f>
        <v>0</v>
      </c>
      <c r="J322" s="28">
        <f t="shared" si="26"/>
        <v>0</v>
      </c>
      <c r="K322" s="28">
        <f t="shared" si="27"/>
        <v>0</v>
      </c>
      <c r="L322" s="32"/>
      <c r="M322" s="28">
        <f>SUMIF(Transactions!$K$19:$K$46,'Percentage Calc'!$E322,Transactions!L$19:L$46)</f>
        <v>0</v>
      </c>
      <c r="N322" s="28">
        <f>SUMIF(Transactions!$K$19:$K$46,'Percentage Calc'!$E322,Transactions!M$19:M$46)</f>
        <v>0</v>
      </c>
      <c r="O322" s="28">
        <f>SUMIF(Transactions!$K$19:$K$46,'Percentage Calc'!$E322,Transactions!N$19:N$46)</f>
        <v>0</v>
      </c>
      <c r="P322" s="28">
        <f>SUMIF(Transactions!$K$19:$K$46,'Percentage Calc'!$E322,Transactions!O$19:O$46)</f>
        <v>0</v>
      </c>
      <c r="Q322" s="28">
        <f>SUMIF(Transactions!$K$19:$K$46,'Percentage Calc'!$E322,Transactions!P$19:P$46)</f>
        <v>0</v>
      </c>
      <c r="R322" s="28">
        <f t="shared" si="28"/>
        <v>0</v>
      </c>
      <c r="S322" s="28">
        <f t="shared" si="29"/>
        <v>0</v>
      </c>
    </row>
    <row r="323" spans="1:19" x14ac:dyDescent="0.35">
      <c r="A323" s="9"/>
      <c r="B323" s="32"/>
      <c r="C323" s="28">
        <f>IF(Check!$B$87=1,1,IF(R323&lt;1,0,1))</f>
        <v>1</v>
      </c>
      <c r="D323" s="28">
        <f t="shared" si="25"/>
        <v>1</v>
      </c>
      <c r="E323" s="32">
        <v>46147</v>
      </c>
      <c r="F323" s="28">
        <f>SUMIF(Transactions!$C$18:$C$46,'Percentage Calc'!$E323,Transactions!D$18:D$46)</f>
        <v>0</v>
      </c>
      <c r="G323" s="28">
        <f>SUMIF(Transactions!$C$18:$C$46,'Percentage Calc'!$E323,Transactions!E$18:E$46)</f>
        <v>0</v>
      </c>
      <c r="H323" s="28">
        <f>SUMIF(Transactions!$C$18:$C$46,'Percentage Calc'!$E323,Transactions!F$18:F$46)</f>
        <v>0</v>
      </c>
      <c r="I323" s="28">
        <f>SUMIF(Transactions!$C$18:$C$46,'Percentage Calc'!$E323,Transactions!G$18:G$46)</f>
        <v>0</v>
      </c>
      <c r="J323" s="28">
        <f t="shared" si="26"/>
        <v>0</v>
      </c>
      <c r="K323" s="28">
        <f t="shared" si="27"/>
        <v>0</v>
      </c>
      <c r="L323" s="32"/>
      <c r="M323" s="28">
        <f>SUMIF(Transactions!$K$19:$K$46,'Percentage Calc'!$E323,Transactions!L$19:L$46)</f>
        <v>0</v>
      </c>
      <c r="N323" s="28">
        <f>SUMIF(Transactions!$K$19:$K$46,'Percentage Calc'!$E323,Transactions!M$19:M$46)</f>
        <v>0</v>
      </c>
      <c r="O323" s="28">
        <f>SUMIF(Transactions!$K$19:$K$46,'Percentage Calc'!$E323,Transactions!N$19:N$46)</f>
        <v>0</v>
      </c>
      <c r="P323" s="28">
        <f>SUMIF(Transactions!$K$19:$K$46,'Percentage Calc'!$E323,Transactions!O$19:O$46)</f>
        <v>0</v>
      </c>
      <c r="Q323" s="28">
        <f>SUMIF(Transactions!$K$19:$K$46,'Percentage Calc'!$E323,Transactions!P$19:P$46)</f>
        <v>0</v>
      </c>
      <c r="R323" s="28">
        <f t="shared" si="28"/>
        <v>0</v>
      </c>
      <c r="S323" s="28">
        <f t="shared" si="29"/>
        <v>0</v>
      </c>
    </row>
    <row r="324" spans="1:19" x14ac:dyDescent="0.35">
      <c r="A324" s="9"/>
      <c r="B324" s="32"/>
      <c r="C324" s="28">
        <f>IF(Check!$B$87=1,1,IF(R324&lt;1,0,1))</f>
        <v>1</v>
      </c>
      <c r="D324" s="28">
        <f t="shared" si="25"/>
        <v>1</v>
      </c>
      <c r="E324" s="32">
        <v>46148</v>
      </c>
      <c r="F324" s="28">
        <f>SUMIF(Transactions!$C$18:$C$46,'Percentage Calc'!$E324,Transactions!D$18:D$46)</f>
        <v>0</v>
      </c>
      <c r="G324" s="28">
        <f>SUMIF(Transactions!$C$18:$C$46,'Percentage Calc'!$E324,Transactions!E$18:E$46)</f>
        <v>0</v>
      </c>
      <c r="H324" s="28">
        <f>SUMIF(Transactions!$C$18:$C$46,'Percentage Calc'!$E324,Transactions!F$18:F$46)</f>
        <v>0</v>
      </c>
      <c r="I324" s="28">
        <f>SUMIF(Transactions!$C$18:$C$46,'Percentage Calc'!$E324,Transactions!G$18:G$46)</f>
        <v>0</v>
      </c>
      <c r="J324" s="28">
        <f t="shared" si="26"/>
        <v>0</v>
      </c>
      <c r="K324" s="28">
        <f t="shared" si="27"/>
        <v>0</v>
      </c>
      <c r="L324" s="32"/>
      <c r="M324" s="28">
        <f>SUMIF(Transactions!$K$19:$K$46,'Percentage Calc'!$E324,Transactions!L$19:L$46)</f>
        <v>0</v>
      </c>
      <c r="N324" s="28">
        <f>SUMIF(Transactions!$K$19:$K$46,'Percentage Calc'!$E324,Transactions!M$19:M$46)</f>
        <v>0</v>
      </c>
      <c r="O324" s="28">
        <f>SUMIF(Transactions!$K$19:$K$46,'Percentage Calc'!$E324,Transactions!N$19:N$46)</f>
        <v>0</v>
      </c>
      <c r="P324" s="28">
        <f>SUMIF(Transactions!$K$19:$K$46,'Percentage Calc'!$E324,Transactions!O$19:O$46)</f>
        <v>0</v>
      </c>
      <c r="Q324" s="28">
        <f>SUMIF(Transactions!$K$19:$K$46,'Percentage Calc'!$E324,Transactions!P$19:P$46)</f>
        <v>0</v>
      </c>
      <c r="R324" s="28">
        <f t="shared" si="28"/>
        <v>0</v>
      </c>
      <c r="S324" s="28">
        <f t="shared" si="29"/>
        <v>0</v>
      </c>
    </row>
    <row r="325" spans="1:19" x14ac:dyDescent="0.35">
      <c r="A325" s="9"/>
      <c r="B325" s="32"/>
      <c r="C325" s="28">
        <f>IF(Check!$B$87=1,1,IF(R325&lt;1,0,1))</f>
        <v>1</v>
      </c>
      <c r="D325" s="28">
        <f t="shared" si="25"/>
        <v>1</v>
      </c>
      <c r="E325" s="32">
        <v>46149</v>
      </c>
      <c r="F325" s="28">
        <f>SUMIF(Transactions!$C$18:$C$46,'Percentage Calc'!$E325,Transactions!D$18:D$46)</f>
        <v>0</v>
      </c>
      <c r="G325" s="28">
        <f>SUMIF(Transactions!$C$18:$C$46,'Percentage Calc'!$E325,Transactions!E$18:E$46)</f>
        <v>0</v>
      </c>
      <c r="H325" s="28">
        <f>SUMIF(Transactions!$C$18:$C$46,'Percentage Calc'!$E325,Transactions!F$18:F$46)</f>
        <v>0</v>
      </c>
      <c r="I325" s="28">
        <f>SUMIF(Transactions!$C$18:$C$46,'Percentage Calc'!$E325,Transactions!G$18:G$46)</f>
        <v>0</v>
      </c>
      <c r="J325" s="28">
        <f t="shared" si="26"/>
        <v>0</v>
      </c>
      <c r="K325" s="28">
        <f t="shared" si="27"/>
        <v>0</v>
      </c>
      <c r="L325" s="32"/>
      <c r="M325" s="28">
        <f>SUMIF(Transactions!$K$19:$K$46,'Percentage Calc'!$E325,Transactions!L$19:L$46)</f>
        <v>0</v>
      </c>
      <c r="N325" s="28">
        <f>SUMIF(Transactions!$K$19:$K$46,'Percentage Calc'!$E325,Transactions!M$19:M$46)</f>
        <v>0</v>
      </c>
      <c r="O325" s="28">
        <f>SUMIF(Transactions!$K$19:$K$46,'Percentage Calc'!$E325,Transactions!N$19:N$46)</f>
        <v>0</v>
      </c>
      <c r="P325" s="28">
        <f>SUMIF(Transactions!$K$19:$K$46,'Percentage Calc'!$E325,Transactions!O$19:O$46)</f>
        <v>0</v>
      </c>
      <c r="Q325" s="28">
        <f>SUMIF(Transactions!$K$19:$K$46,'Percentage Calc'!$E325,Transactions!P$19:P$46)</f>
        <v>0</v>
      </c>
      <c r="R325" s="28">
        <f t="shared" si="28"/>
        <v>0</v>
      </c>
      <c r="S325" s="28">
        <f t="shared" si="29"/>
        <v>0</v>
      </c>
    </row>
    <row r="326" spans="1:19" x14ac:dyDescent="0.35">
      <c r="A326" s="9"/>
      <c r="B326" s="32"/>
      <c r="C326" s="28">
        <f>IF(Check!$B$87=1,1,IF(R326&lt;1,0,1))</f>
        <v>1</v>
      </c>
      <c r="D326" s="28">
        <f t="shared" si="25"/>
        <v>1</v>
      </c>
      <c r="E326" s="32">
        <v>46150</v>
      </c>
      <c r="F326" s="28">
        <f>SUMIF(Transactions!$C$18:$C$46,'Percentage Calc'!$E326,Transactions!D$18:D$46)</f>
        <v>0</v>
      </c>
      <c r="G326" s="28">
        <f>SUMIF(Transactions!$C$18:$C$46,'Percentage Calc'!$E326,Transactions!E$18:E$46)</f>
        <v>0</v>
      </c>
      <c r="H326" s="28">
        <f>SUMIF(Transactions!$C$18:$C$46,'Percentage Calc'!$E326,Transactions!F$18:F$46)</f>
        <v>0</v>
      </c>
      <c r="I326" s="28">
        <f>SUMIF(Transactions!$C$18:$C$46,'Percentage Calc'!$E326,Transactions!G$18:G$46)</f>
        <v>0</v>
      </c>
      <c r="J326" s="28">
        <f t="shared" si="26"/>
        <v>0</v>
      </c>
      <c r="K326" s="28">
        <f t="shared" si="27"/>
        <v>0</v>
      </c>
      <c r="L326" s="32"/>
      <c r="M326" s="28">
        <f>SUMIF(Transactions!$K$19:$K$46,'Percentage Calc'!$E326,Transactions!L$19:L$46)</f>
        <v>0</v>
      </c>
      <c r="N326" s="28">
        <f>SUMIF(Transactions!$K$19:$K$46,'Percentage Calc'!$E326,Transactions!M$19:M$46)</f>
        <v>0</v>
      </c>
      <c r="O326" s="28">
        <f>SUMIF(Transactions!$K$19:$K$46,'Percentage Calc'!$E326,Transactions!N$19:N$46)</f>
        <v>0</v>
      </c>
      <c r="P326" s="28">
        <f>SUMIF(Transactions!$K$19:$K$46,'Percentage Calc'!$E326,Transactions!O$19:O$46)</f>
        <v>0</v>
      </c>
      <c r="Q326" s="28">
        <f>SUMIF(Transactions!$K$19:$K$46,'Percentage Calc'!$E326,Transactions!P$19:P$46)</f>
        <v>0</v>
      </c>
      <c r="R326" s="28">
        <f t="shared" si="28"/>
        <v>0</v>
      </c>
      <c r="S326" s="28">
        <f t="shared" si="29"/>
        <v>0</v>
      </c>
    </row>
    <row r="327" spans="1:19" x14ac:dyDescent="0.35">
      <c r="A327" s="9"/>
      <c r="B327" s="32"/>
      <c r="C327" s="28">
        <f>IF(Check!$B$87=1,1,IF(R327&lt;1,0,1))</f>
        <v>1</v>
      </c>
      <c r="D327" s="28">
        <f t="shared" si="25"/>
        <v>1</v>
      </c>
      <c r="E327" s="32">
        <v>46151</v>
      </c>
      <c r="F327" s="28">
        <f>SUMIF(Transactions!$C$18:$C$46,'Percentage Calc'!$E327,Transactions!D$18:D$46)</f>
        <v>0</v>
      </c>
      <c r="G327" s="28">
        <f>SUMIF(Transactions!$C$18:$C$46,'Percentage Calc'!$E327,Transactions!E$18:E$46)</f>
        <v>0</v>
      </c>
      <c r="H327" s="28">
        <f>SUMIF(Transactions!$C$18:$C$46,'Percentage Calc'!$E327,Transactions!F$18:F$46)</f>
        <v>0</v>
      </c>
      <c r="I327" s="28">
        <f>SUMIF(Transactions!$C$18:$C$46,'Percentage Calc'!$E327,Transactions!G$18:G$46)</f>
        <v>0</v>
      </c>
      <c r="J327" s="28">
        <f t="shared" si="26"/>
        <v>0</v>
      </c>
      <c r="K327" s="28">
        <f t="shared" si="27"/>
        <v>0</v>
      </c>
      <c r="L327" s="32"/>
      <c r="M327" s="28">
        <f>SUMIF(Transactions!$K$19:$K$46,'Percentage Calc'!$E327,Transactions!L$19:L$46)</f>
        <v>0</v>
      </c>
      <c r="N327" s="28">
        <f>SUMIF(Transactions!$K$19:$K$46,'Percentage Calc'!$E327,Transactions!M$19:M$46)</f>
        <v>0</v>
      </c>
      <c r="O327" s="28">
        <f>SUMIF(Transactions!$K$19:$K$46,'Percentage Calc'!$E327,Transactions!N$19:N$46)</f>
        <v>0</v>
      </c>
      <c r="P327" s="28">
        <f>SUMIF(Transactions!$K$19:$K$46,'Percentage Calc'!$E327,Transactions!O$19:O$46)</f>
        <v>0</v>
      </c>
      <c r="Q327" s="28">
        <f>SUMIF(Transactions!$K$19:$K$46,'Percentage Calc'!$E327,Transactions!P$19:P$46)</f>
        <v>0</v>
      </c>
      <c r="R327" s="28">
        <f t="shared" si="28"/>
        <v>0</v>
      </c>
      <c r="S327" s="28">
        <f t="shared" si="29"/>
        <v>0</v>
      </c>
    </row>
    <row r="328" spans="1:19" x14ac:dyDescent="0.35">
      <c r="A328" s="9"/>
      <c r="B328" s="32"/>
      <c r="C328" s="28">
        <f>IF(Check!$B$87=1,1,IF(R328&lt;1,0,1))</f>
        <v>1</v>
      </c>
      <c r="D328" s="28">
        <f t="shared" si="25"/>
        <v>1</v>
      </c>
      <c r="E328" s="32">
        <v>46152</v>
      </c>
      <c r="F328" s="28">
        <f>SUMIF(Transactions!$C$18:$C$46,'Percentage Calc'!$E328,Transactions!D$18:D$46)</f>
        <v>0</v>
      </c>
      <c r="G328" s="28">
        <f>SUMIF(Transactions!$C$18:$C$46,'Percentage Calc'!$E328,Transactions!E$18:E$46)</f>
        <v>0</v>
      </c>
      <c r="H328" s="28">
        <f>SUMIF(Transactions!$C$18:$C$46,'Percentage Calc'!$E328,Transactions!F$18:F$46)</f>
        <v>0</v>
      </c>
      <c r="I328" s="28">
        <f>SUMIF(Transactions!$C$18:$C$46,'Percentage Calc'!$E328,Transactions!G$18:G$46)</f>
        <v>0</v>
      </c>
      <c r="J328" s="28">
        <f t="shared" si="26"/>
        <v>0</v>
      </c>
      <c r="K328" s="28">
        <f t="shared" si="27"/>
        <v>0</v>
      </c>
      <c r="L328" s="32"/>
      <c r="M328" s="28">
        <f>SUMIF(Transactions!$K$19:$K$46,'Percentage Calc'!$E328,Transactions!L$19:L$46)</f>
        <v>0</v>
      </c>
      <c r="N328" s="28">
        <f>SUMIF(Transactions!$K$19:$K$46,'Percentage Calc'!$E328,Transactions!M$19:M$46)</f>
        <v>0</v>
      </c>
      <c r="O328" s="28">
        <f>SUMIF(Transactions!$K$19:$K$46,'Percentage Calc'!$E328,Transactions!N$19:N$46)</f>
        <v>0</v>
      </c>
      <c r="P328" s="28">
        <f>SUMIF(Transactions!$K$19:$K$46,'Percentage Calc'!$E328,Transactions!O$19:O$46)</f>
        <v>0</v>
      </c>
      <c r="Q328" s="28">
        <f>SUMIF(Transactions!$K$19:$K$46,'Percentage Calc'!$E328,Transactions!P$19:P$46)</f>
        <v>0</v>
      </c>
      <c r="R328" s="28">
        <f t="shared" si="28"/>
        <v>0</v>
      </c>
      <c r="S328" s="28">
        <f t="shared" si="29"/>
        <v>0</v>
      </c>
    </row>
    <row r="329" spans="1:19" x14ac:dyDescent="0.35">
      <c r="A329" s="9"/>
      <c r="B329" s="32"/>
      <c r="C329" s="28">
        <f>IF(Check!$B$87=1,1,IF(R329&lt;1,0,1))</f>
        <v>1</v>
      </c>
      <c r="D329" s="28">
        <f t="shared" si="25"/>
        <v>1</v>
      </c>
      <c r="E329" s="32">
        <v>46153</v>
      </c>
      <c r="F329" s="28">
        <f>SUMIF(Transactions!$C$18:$C$46,'Percentage Calc'!$E329,Transactions!D$18:D$46)</f>
        <v>0</v>
      </c>
      <c r="G329" s="28">
        <f>SUMIF(Transactions!$C$18:$C$46,'Percentage Calc'!$E329,Transactions!E$18:E$46)</f>
        <v>0</v>
      </c>
      <c r="H329" s="28">
        <f>SUMIF(Transactions!$C$18:$C$46,'Percentage Calc'!$E329,Transactions!F$18:F$46)</f>
        <v>0</v>
      </c>
      <c r="I329" s="28">
        <f>SUMIF(Transactions!$C$18:$C$46,'Percentage Calc'!$E329,Transactions!G$18:G$46)</f>
        <v>0</v>
      </c>
      <c r="J329" s="28">
        <f t="shared" si="26"/>
        <v>0</v>
      </c>
      <c r="K329" s="28">
        <f t="shared" si="27"/>
        <v>0</v>
      </c>
      <c r="L329" s="32"/>
      <c r="M329" s="28">
        <f>SUMIF(Transactions!$K$19:$K$46,'Percentage Calc'!$E329,Transactions!L$19:L$46)</f>
        <v>0</v>
      </c>
      <c r="N329" s="28">
        <f>SUMIF(Transactions!$K$19:$K$46,'Percentage Calc'!$E329,Transactions!M$19:M$46)</f>
        <v>0</v>
      </c>
      <c r="O329" s="28">
        <f>SUMIF(Transactions!$K$19:$K$46,'Percentage Calc'!$E329,Transactions!N$19:N$46)</f>
        <v>0</v>
      </c>
      <c r="P329" s="28">
        <f>SUMIF(Transactions!$K$19:$K$46,'Percentage Calc'!$E329,Transactions!O$19:O$46)</f>
        <v>0</v>
      </c>
      <c r="Q329" s="28">
        <f>SUMIF(Transactions!$K$19:$K$46,'Percentage Calc'!$E329,Transactions!P$19:P$46)</f>
        <v>0</v>
      </c>
      <c r="R329" s="28">
        <f t="shared" si="28"/>
        <v>0</v>
      </c>
      <c r="S329" s="28">
        <f t="shared" si="29"/>
        <v>0</v>
      </c>
    </row>
    <row r="330" spans="1:19" x14ac:dyDescent="0.35">
      <c r="A330" s="9"/>
      <c r="B330" s="32"/>
      <c r="C330" s="28">
        <f>IF(Check!$B$87=1,1,IF(R330&lt;1,0,1))</f>
        <v>1</v>
      </c>
      <c r="D330" s="28">
        <f t="shared" si="25"/>
        <v>1</v>
      </c>
      <c r="E330" s="32">
        <v>46154</v>
      </c>
      <c r="F330" s="28">
        <f>SUMIF(Transactions!$C$18:$C$46,'Percentage Calc'!$E330,Transactions!D$18:D$46)</f>
        <v>0</v>
      </c>
      <c r="G330" s="28">
        <f>SUMIF(Transactions!$C$18:$C$46,'Percentage Calc'!$E330,Transactions!E$18:E$46)</f>
        <v>0</v>
      </c>
      <c r="H330" s="28">
        <f>SUMIF(Transactions!$C$18:$C$46,'Percentage Calc'!$E330,Transactions!F$18:F$46)</f>
        <v>0</v>
      </c>
      <c r="I330" s="28">
        <f>SUMIF(Transactions!$C$18:$C$46,'Percentage Calc'!$E330,Transactions!G$18:G$46)</f>
        <v>0</v>
      </c>
      <c r="J330" s="28">
        <f t="shared" si="26"/>
        <v>0</v>
      </c>
      <c r="K330" s="28">
        <f t="shared" si="27"/>
        <v>0</v>
      </c>
      <c r="L330" s="32"/>
      <c r="M330" s="28">
        <f>SUMIF(Transactions!$K$19:$K$46,'Percentage Calc'!$E330,Transactions!L$19:L$46)</f>
        <v>0</v>
      </c>
      <c r="N330" s="28">
        <f>SUMIF(Transactions!$K$19:$K$46,'Percentage Calc'!$E330,Transactions!M$19:M$46)</f>
        <v>0</v>
      </c>
      <c r="O330" s="28">
        <f>SUMIF(Transactions!$K$19:$K$46,'Percentage Calc'!$E330,Transactions!N$19:N$46)</f>
        <v>0</v>
      </c>
      <c r="P330" s="28">
        <f>SUMIF(Transactions!$K$19:$K$46,'Percentage Calc'!$E330,Transactions!O$19:O$46)</f>
        <v>0</v>
      </c>
      <c r="Q330" s="28">
        <f>SUMIF(Transactions!$K$19:$K$46,'Percentage Calc'!$E330,Transactions!P$19:P$46)</f>
        <v>0</v>
      </c>
      <c r="R330" s="28">
        <f t="shared" si="28"/>
        <v>0</v>
      </c>
      <c r="S330" s="28">
        <f t="shared" si="29"/>
        <v>0</v>
      </c>
    </row>
    <row r="331" spans="1:19" x14ac:dyDescent="0.35">
      <c r="A331" s="9"/>
      <c r="B331" s="32"/>
      <c r="C331" s="28">
        <f>IF(Check!$B$87=1,1,IF(R331&lt;1,0,1))</f>
        <v>1</v>
      </c>
      <c r="D331" s="28">
        <f t="shared" si="25"/>
        <v>1</v>
      </c>
      <c r="E331" s="32">
        <v>46155</v>
      </c>
      <c r="F331" s="28">
        <f>SUMIF(Transactions!$C$18:$C$46,'Percentage Calc'!$E331,Transactions!D$18:D$46)</f>
        <v>0</v>
      </c>
      <c r="G331" s="28">
        <f>SUMIF(Transactions!$C$18:$C$46,'Percentage Calc'!$E331,Transactions!E$18:E$46)</f>
        <v>0</v>
      </c>
      <c r="H331" s="28">
        <f>SUMIF(Transactions!$C$18:$C$46,'Percentage Calc'!$E331,Transactions!F$18:F$46)</f>
        <v>0</v>
      </c>
      <c r="I331" s="28">
        <f>SUMIF(Transactions!$C$18:$C$46,'Percentage Calc'!$E331,Transactions!G$18:G$46)</f>
        <v>0</v>
      </c>
      <c r="J331" s="28">
        <f t="shared" si="26"/>
        <v>0</v>
      </c>
      <c r="K331" s="28">
        <f t="shared" si="27"/>
        <v>0</v>
      </c>
      <c r="L331" s="32"/>
      <c r="M331" s="28">
        <f>SUMIF(Transactions!$K$19:$K$46,'Percentage Calc'!$E331,Transactions!L$19:L$46)</f>
        <v>0</v>
      </c>
      <c r="N331" s="28">
        <f>SUMIF(Transactions!$K$19:$K$46,'Percentage Calc'!$E331,Transactions!M$19:M$46)</f>
        <v>0</v>
      </c>
      <c r="O331" s="28">
        <f>SUMIF(Transactions!$K$19:$K$46,'Percentage Calc'!$E331,Transactions!N$19:N$46)</f>
        <v>0</v>
      </c>
      <c r="P331" s="28">
        <f>SUMIF(Transactions!$K$19:$K$46,'Percentage Calc'!$E331,Transactions!O$19:O$46)</f>
        <v>0</v>
      </c>
      <c r="Q331" s="28">
        <f>SUMIF(Transactions!$K$19:$K$46,'Percentage Calc'!$E331,Transactions!P$19:P$46)</f>
        <v>0</v>
      </c>
      <c r="R331" s="28">
        <f t="shared" si="28"/>
        <v>0</v>
      </c>
      <c r="S331" s="28">
        <f t="shared" si="29"/>
        <v>0</v>
      </c>
    </row>
    <row r="332" spans="1:19" x14ac:dyDescent="0.35">
      <c r="A332" s="9"/>
      <c r="B332" s="32"/>
      <c r="C332" s="28">
        <f>IF(Check!$B$87=1,1,IF(R332&lt;1,0,1))</f>
        <v>1</v>
      </c>
      <c r="D332" s="28">
        <f t="shared" si="25"/>
        <v>1</v>
      </c>
      <c r="E332" s="32">
        <v>46156</v>
      </c>
      <c r="F332" s="28">
        <f>SUMIF(Transactions!$C$18:$C$46,'Percentage Calc'!$E332,Transactions!D$18:D$46)</f>
        <v>0</v>
      </c>
      <c r="G332" s="28">
        <f>SUMIF(Transactions!$C$18:$C$46,'Percentage Calc'!$E332,Transactions!E$18:E$46)</f>
        <v>0</v>
      </c>
      <c r="H332" s="28">
        <f>SUMIF(Transactions!$C$18:$C$46,'Percentage Calc'!$E332,Transactions!F$18:F$46)</f>
        <v>0</v>
      </c>
      <c r="I332" s="28">
        <f>SUMIF(Transactions!$C$18:$C$46,'Percentage Calc'!$E332,Transactions!G$18:G$46)</f>
        <v>0</v>
      </c>
      <c r="J332" s="28">
        <f t="shared" si="26"/>
        <v>0</v>
      </c>
      <c r="K332" s="28">
        <f t="shared" si="27"/>
        <v>0</v>
      </c>
      <c r="L332" s="32"/>
      <c r="M332" s="28">
        <f>SUMIF(Transactions!$K$19:$K$46,'Percentage Calc'!$E332,Transactions!L$19:L$46)</f>
        <v>0</v>
      </c>
      <c r="N332" s="28">
        <f>SUMIF(Transactions!$K$19:$K$46,'Percentage Calc'!$E332,Transactions!M$19:M$46)</f>
        <v>0</v>
      </c>
      <c r="O332" s="28">
        <f>SUMIF(Transactions!$K$19:$K$46,'Percentage Calc'!$E332,Transactions!N$19:N$46)</f>
        <v>0</v>
      </c>
      <c r="P332" s="28">
        <f>SUMIF(Transactions!$K$19:$K$46,'Percentage Calc'!$E332,Transactions!O$19:O$46)</f>
        <v>0</v>
      </c>
      <c r="Q332" s="28">
        <f>SUMIF(Transactions!$K$19:$K$46,'Percentage Calc'!$E332,Transactions!P$19:P$46)</f>
        <v>0</v>
      </c>
      <c r="R332" s="28">
        <f t="shared" si="28"/>
        <v>0</v>
      </c>
      <c r="S332" s="28">
        <f t="shared" si="29"/>
        <v>0</v>
      </c>
    </row>
    <row r="333" spans="1:19" x14ac:dyDescent="0.35">
      <c r="A333" s="9"/>
      <c r="B333" s="32"/>
      <c r="C333" s="28">
        <f>IF(Check!$B$87=1,1,IF(R333&lt;1,0,1))</f>
        <v>1</v>
      </c>
      <c r="D333" s="28">
        <f t="shared" si="25"/>
        <v>1</v>
      </c>
      <c r="E333" s="32">
        <v>46157</v>
      </c>
      <c r="F333" s="28">
        <f>SUMIF(Transactions!$C$18:$C$46,'Percentage Calc'!$E333,Transactions!D$18:D$46)</f>
        <v>0</v>
      </c>
      <c r="G333" s="28">
        <f>SUMIF(Transactions!$C$18:$C$46,'Percentage Calc'!$E333,Transactions!E$18:E$46)</f>
        <v>0</v>
      </c>
      <c r="H333" s="28">
        <f>SUMIF(Transactions!$C$18:$C$46,'Percentage Calc'!$E333,Transactions!F$18:F$46)</f>
        <v>0</v>
      </c>
      <c r="I333" s="28">
        <f>SUMIF(Transactions!$C$18:$C$46,'Percentage Calc'!$E333,Transactions!G$18:G$46)</f>
        <v>0</v>
      </c>
      <c r="J333" s="28">
        <f t="shared" si="26"/>
        <v>0</v>
      </c>
      <c r="K333" s="28">
        <f t="shared" si="27"/>
        <v>0</v>
      </c>
      <c r="L333" s="32"/>
      <c r="M333" s="28">
        <f>SUMIF(Transactions!$K$19:$K$46,'Percentage Calc'!$E333,Transactions!L$19:L$46)</f>
        <v>0</v>
      </c>
      <c r="N333" s="28">
        <f>SUMIF(Transactions!$K$19:$K$46,'Percentage Calc'!$E333,Transactions!M$19:M$46)</f>
        <v>0</v>
      </c>
      <c r="O333" s="28">
        <f>SUMIF(Transactions!$K$19:$K$46,'Percentage Calc'!$E333,Transactions!N$19:N$46)</f>
        <v>0</v>
      </c>
      <c r="P333" s="28">
        <f>SUMIF(Transactions!$K$19:$K$46,'Percentage Calc'!$E333,Transactions!O$19:O$46)</f>
        <v>0</v>
      </c>
      <c r="Q333" s="28">
        <f>SUMIF(Transactions!$K$19:$K$46,'Percentage Calc'!$E333,Transactions!P$19:P$46)</f>
        <v>0</v>
      </c>
      <c r="R333" s="28">
        <f t="shared" si="28"/>
        <v>0</v>
      </c>
      <c r="S333" s="28">
        <f t="shared" si="29"/>
        <v>0</v>
      </c>
    </row>
    <row r="334" spans="1:19" x14ac:dyDescent="0.35">
      <c r="A334" s="9"/>
      <c r="B334" s="32"/>
      <c r="C334" s="28">
        <f>IF(Check!$B$87=1,1,IF(R334&lt;1,0,1))</f>
        <v>1</v>
      </c>
      <c r="D334" s="28">
        <f t="shared" si="25"/>
        <v>1</v>
      </c>
      <c r="E334" s="32">
        <v>46158</v>
      </c>
      <c r="F334" s="28">
        <f>SUMIF(Transactions!$C$18:$C$46,'Percentage Calc'!$E334,Transactions!D$18:D$46)</f>
        <v>0</v>
      </c>
      <c r="G334" s="28">
        <f>SUMIF(Transactions!$C$18:$C$46,'Percentage Calc'!$E334,Transactions!E$18:E$46)</f>
        <v>0</v>
      </c>
      <c r="H334" s="28">
        <f>SUMIF(Transactions!$C$18:$C$46,'Percentage Calc'!$E334,Transactions!F$18:F$46)</f>
        <v>0</v>
      </c>
      <c r="I334" s="28">
        <f>SUMIF(Transactions!$C$18:$C$46,'Percentage Calc'!$E334,Transactions!G$18:G$46)</f>
        <v>0</v>
      </c>
      <c r="J334" s="28">
        <f t="shared" si="26"/>
        <v>0</v>
      </c>
      <c r="K334" s="28">
        <f t="shared" si="27"/>
        <v>0</v>
      </c>
      <c r="L334" s="32"/>
      <c r="M334" s="28">
        <f>SUMIF(Transactions!$K$19:$K$46,'Percentage Calc'!$E334,Transactions!L$19:L$46)</f>
        <v>0</v>
      </c>
      <c r="N334" s="28">
        <f>SUMIF(Transactions!$K$19:$K$46,'Percentage Calc'!$E334,Transactions!M$19:M$46)</f>
        <v>0</v>
      </c>
      <c r="O334" s="28">
        <f>SUMIF(Transactions!$K$19:$K$46,'Percentage Calc'!$E334,Transactions!N$19:N$46)</f>
        <v>0</v>
      </c>
      <c r="P334" s="28">
        <f>SUMIF(Transactions!$K$19:$K$46,'Percentage Calc'!$E334,Transactions!O$19:O$46)</f>
        <v>0</v>
      </c>
      <c r="Q334" s="28">
        <f>SUMIF(Transactions!$K$19:$K$46,'Percentage Calc'!$E334,Transactions!P$19:P$46)</f>
        <v>0</v>
      </c>
      <c r="R334" s="28">
        <f t="shared" si="28"/>
        <v>0</v>
      </c>
      <c r="S334" s="28">
        <f t="shared" si="29"/>
        <v>0</v>
      </c>
    </row>
    <row r="335" spans="1:19" x14ac:dyDescent="0.35">
      <c r="A335" s="9"/>
      <c r="B335" s="32"/>
      <c r="C335" s="28">
        <f>IF(Check!$B$87=1,1,IF(R335&lt;1,0,1))</f>
        <v>1</v>
      </c>
      <c r="D335" s="28">
        <f t="shared" si="25"/>
        <v>1</v>
      </c>
      <c r="E335" s="32">
        <v>46159</v>
      </c>
      <c r="F335" s="28">
        <f>SUMIF(Transactions!$C$18:$C$46,'Percentage Calc'!$E335,Transactions!D$18:D$46)</f>
        <v>0</v>
      </c>
      <c r="G335" s="28">
        <f>SUMIF(Transactions!$C$18:$C$46,'Percentage Calc'!$E335,Transactions!E$18:E$46)</f>
        <v>0</v>
      </c>
      <c r="H335" s="28">
        <f>SUMIF(Transactions!$C$18:$C$46,'Percentage Calc'!$E335,Transactions!F$18:F$46)</f>
        <v>0</v>
      </c>
      <c r="I335" s="28">
        <f>SUMIF(Transactions!$C$18:$C$46,'Percentage Calc'!$E335,Transactions!G$18:G$46)</f>
        <v>0</v>
      </c>
      <c r="J335" s="28">
        <f t="shared" si="26"/>
        <v>0</v>
      </c>
      <c r="K335" s="28">
        <f t="shared" si="27"/>
        <v>0</v>
      </c>
      <c r="L335" s="32"/>
      <c r="M335" s="28">
        <f>SUMIF(Transactions!$K$19:$K$46,'Percentage Calc'!$E335,Transactions!L$19:L$46)</f>
        <v>0</v>
      </c>
      <c r="N335" s="28">
        <f>SUMIF(Transactions!$K$19:$K$46,'Percentage Calc'!$E335,Transactions!M$19:M$46)</f>
        <v>0</v>
      </c>
      <c r="O335" s="28">
        <f>SUMIF(Transactions!$K$19:$K$46,'Percentage Calc'!$E335,Transactions!N$19:N$46)</f>
        <v>0</v>
      </c>
      <c r="P335" s="28">
        <f>SUMIF(Transactions!$K$19:$K$46,'Percentage Calc'!$E335,Transactions!O$19:O$46)</f>
        <v>0</v>
      </c>
      <c r="Q335" s="28">
        <f>SUMIF(Transactions!$K$19:$K$46,'Percentage Calc'!$E335,Transactions!P$19:P$46)</f>
        <v>0</v>
      </c>
      <c r="R335" s="28">
        <f t="shared" si="28"/>
        <v>0</v>
      </c>
      <c r="S335" s="28">
        <f t="shared" si="29"/>
        <v>0</v>
      </c>
    </row>
    <row r="336" spans="1:19" x14ac:dyDescent="0.35">
      <c r="A336" s="9"/>
      <c r="B336" s="32"/>
      <c r="C336" s="28">
        <f>IF(Check!$B$87=1,1,IF(R336&lt;1,0,1))</f>
        <v>1</v>
      </c>
      <c r="D336" s="28">
        <f t="shared" si="25"/>
        <v>1</v>
      </c>
      <c r="E336" s="32">
        <v>46160</v>
      </c>
      <c r="F336" s="28">
        <f>SUMIF(Transactions!$C$18:$C$46,'Percentage Calc'!$E336,Transactions!D$18:D$46)</f>
        <v>0</v>
      </c>
      <c r="G336" s="28">
        <f>SUMIF(Transactions!$C$18:$C$46,'Percentage Calc'!$E336,Transactions!E$18:E$46)</f>
        <v>0</v>
      </c>
      <c r="H336" s="28">
        <f>SUMIF(Transactions!$C$18:$C$46,'Percentage Calc'!$E336,Transactions!F$18:F$46)</f>
        <v>0</v>
      </c>
      <c r="I336" s="28">
        <f>SUMIF(Transactions!$C$18:$C$46,'Percentage Calc'!$E336,Transactions!G$18:G$46)</f>
        <v>0</v>
      </c>
      <c r="J336" s="28">
        <f t="shared" si="26"/>
        <v>0</v>
      </c>
      <c r="K336" s="28">
        <f t="shared" si="27"/>
        <v>0</v>
      </c>
      <c r="L336" s="32"/>
      <c r="M336" s="28">
        <f>SUMIF(Transactions!$K$19:$K$46,'Percentage Calc'!$E336,Transactions!L$19:L$46)</f>
        <v>0</v>
      </c>
      <c r="N336" s="28">
        <f>SUMIF(Transactions!$K$19:$K$46,'Percentage Calc'!$E336,Transactions!M$19:M$46)</f>
        <v>0</v>
      </c>
      <c r="O336" s="28">
        <f>SUMIF(Transactions!$K$19:$K$46,'Percentage Calc'!$E336,Transactions!N$19:N$46)</f>
        <v>0</v>
      </c>
      <c r="P336" s="28">
        <f>SUMIF(Transactions!$K$19:$K$46,'Percentage Calc'!$E336,Transactions!O$19:O$46)</f>
        <v>0</v>
      </c>
      <c r="Q336" s="28">
        <f>SUMIF(Transactions!$K$19:$K$46,'Percentage Calc'!$E336,Transactions!P$19:P$46)</f>
        <v>0</v>
      </c>
      <c r="R336" s="28">
        <f t="shared" si="28"/>
        <v>0</v>
      </c>
      <c r="S336" s="28">
        <f t="shared" si="29"/>
        <v>0</v>
      </c>
    </row>
    <row r="337" spans="1:19" x14ac:dyDescent="0.35">
      <c r="A337" s="9"/>
      <c r="B337" s="32"/>
      <c r="C337" s="28">
        <f>IF(Check!$B$87=1,1,IF(R337&lt;1,0,1))</f>
        <v>1</v>
      </c>
      <c r="D337" s="28">
        <f t="shared" ref="D337:D380" si="30">IF(C337&lt;&gt;C336,D336+1,D336)</f>
        <v>1</v>
      </c>
      <c r="E337" s="32">
        <v>46161</v>
      </c>
      <c r="F337" s="28">
        <f>SUMIF(Transactions!$C$18:$C$46,'Percentage Calc'!$E337,Transactions!D$18:D$46)</f>
        <v>0</v>
      </c>
      <c r="G337" s="28">
        <f>SUMIF(Transactions!$C$18:$C$46,'Percentage Calc'!$E337,Transactions!E$18:E$46)</f>
        <v>0</v>
      </c>
      <c r="H337" s="28">
        <f>SUMIF(Transactions!$C$18:$C$46,'Percentage Calc'!$E337,Transactions!F$18:F$46)</f>
        <v>0</v>
      </c>
      <c r="I337" s="28">
        <f>SUMIF(Transactions!$C$18:$C$46,'Percentage Calc'!$E337,Transactions!G$18:G$46)</f>
        <v>0</v>
      </c>
      <c r="J337" s="28">
        <f t="shared" si="26"/>
        <v>0</v>
      </c>
      <c r="K337" s="28">
        <f t="shared" si="27"/>
        <v>0</v>
      </c>
      <c r="L337" s="32"/>
      <c r="M337" s="28">
        <f>SUMIF(Transactions!$K$19:$K$46,'Percentage Calc'!$E337,Transactions!L$19:L$46)</f>
        <v>0</v>
      </c>
      <c r="N337" s="28">
        <f>SUMIF(Transactions!$K$19:$K$46,'Percentage Calc'!$E337,Transactions!M$19:M$46)</f>
        <v>0</v>
      </c>
      <c r="O337" s="28">
        <f>SUMIF(Transactions!$K$19:$K$46,'Percentage Calc'!$E337,Transactions!N$19:N$46)</f>
        <v>0</v>
      </c>
      <c r="P337" s="28">
        <f>SUMIF(Transactions!$K$19:$K$46,'Percentage Calc'!$E337,Transactions!O$19:O$46)</f>
        <v>0</v>
      </c>
      <c r="Q337" s="28">
        <f>SUMIF(Transactions!$K$19:$K$46,'Percentage Calc'!$E337,Transactions!P$19:P$46)</f>
        <v>0</v>
      </c>
      <c r="R337" s="28">
        <f t="shared" si="28"/>
        <v>0</v>
      </c>
      <c r="S337" s="28">
        <f t="shared" si="29"/>
        <v>0</v>
      </c>
    </row>
    <row r="338" spans="1:19" x14ac:dyDescent="0.35">
      <c r="A338" s="9"/>
      <c r="B338" s="32"/>
      <c r="C338" s="28">
        <f>IF(Check!$B$87=1,1,IF(R338&lt;1,0,1))</f>
        <v>1</v>
      </c>
      <c r="D338" s="28">
        <f t="shared" si="30"/>
        <v>1</v>
      </c>
      <c r="E338" s="32">
        <v>46162</v>
      </c>
      <c r="F338" s="28">
        <f>SUMIF(Transactions!$C$18:$C$46,'Percentage Calc'!$E338,Transactions!D$18:D$46)</f>
        <v>0</v>
      </c>
      <c r="G338" s="28">
        <f>SUMIF(Transactions!$C$18:$C$46,'Percentage Calc'!$E338,Transactions!E$18:E$46)</f>
        <v>0</v>
      </c>
      <c r="H338" s="28">
        <f>SUMIF(Transactions!$C$18:$C$46,'Percentage Calc'!$E338,Transactions!F$18:F$46)</f>
        <v>0</v>
      </c>
      <c r="I338" s="28">
        <f>SUMIF(Transactions!$C$18:$C$46,'Percentage Calc'!$E338,Transactions!G$18:G$46)</f>
        <v>0</v>
      </c>
      <c r="J338" s="28">
        <f t="shared" si="26"/>
        <v>0</v>
      </c>
      <c r="K338" s="28">
        <f t="shared" si="27"/>
        <v>0</v>
      </c>
      <c r="L338" s="32"/>
      <c r="M338" s="28">
        <f>SUMIF(Transactions!$K$19:$K$46,'Percentage Calc'!$E338,Transactions!L$19:L$46)</f>
        <v>0</v>
      </c>
      <c r="N338" s="28">
        <f>SUMIF(Transactions!$K$19:$K$46,'Percentage Calc'!$E338,Transactions!M$19:M$46)</f>
        <v>0</v>
      </c>
      <c r="O338" s="28">
        <f>SUMIF(Transactions!$K$19:$K$46,'Percentage Calc'!$E338,Transactions!N$19:N$46)</f>
        <v>0</v>
      </c>
      <c r="P338" s="28">
        <f>SUMIF(Transactions!$K$19:$K$46,'Percentage Calc'!$E338,Transactions!O$19:O$46)</f>
        <v>0</v>
      </c>
      <c r="Q338" s="28">
        <f>SUMIF(Transactions!$K$19:$K$46,'Percentage Calc'!$E338,Transactions!P$19:P$46)</f>
        <v>0</v>
      </c>
      <c r="R338" s="28">
        <f t="shared" si="28"/>
        <v>0</v>
      </c>
      <c r="S338" s="28">
        <f t="shared" si="29"/>
        <v>0</v>
      </c>
    </row>
    <row r="339" spans="1:19" x14ac:dyDescent="0.35">
      <c r="A339" s="9"/>
      <c r="B339" s="32"/>
      <c r="C339" s="28">
        <f>IF(Check!$B$87=1,1,IF(R339&lt;1,0,1))</f>
        <v>1</v>
      </c>
      <c r="D339" s="28">
        <f t="shared" si="30"/>
        <v>1</v>
      </c>
      <c r="E339" s="32">
        <v>46163</v>
      </c>
      <c r="F339" s="28">
        <f>SUMIF(Transactions!$C$18:$C$46,'Percentage Calc'!$E339,Transactions!D$18:D$46)</f>
        <v>0</v>
      </c>
      <c r="G339" s="28">
        <f>SUMIF(Transactions!$C$18:$C$46,'Percentage Calc'!$E339,Transactions!E$18:E$46)</f>
        <v>0</v>
      </c>
      <c r="H339" s="28">
        <f>SUMIF(Transactions!$C$18:$C$46,'Percentage Calc'!$E339,Transactions!F$18:F$46)</f>
        <v>0</v>
      </c>
      <c r="I339" s="28">
        <f>SUMIF(Transactions!$C$18:$C$46,'Percentage Calc'!$E339,Transactions!G$18:G$46)</f>
        <v>0</v>
      </c>
      <c r="J339" s="28">
        <f t="shared" si="26"/>
        <v>0</v>
      </c>
      <c r="K339" s="28">
        <f t="shared" si="27"/>
        <v>0</v>
      </c>
      <c r="L339" s="32"/>
      <c r="M339" s="28">
        <f>SUMIF(Transactions!$K$19:$K$46,'Percentage Calc'!$E339,Transactions!L$19:L$46)</f>
        <v>0</v>
      </c>
      <c r="N339" s="28">
        <f>SUMIF(Transactions!$K$19:$K$46,'Percentage Calc'!$E339,Transactions!M$19:M$46)</f>
        <v>0</v>
      </c>
      <c r="O339" s="28">
        <f>SUMIF(Transactions!$K$19:$K$46,'Percentage Calc'!$E339,Transactions!N$19:N$46)</f>
        <v>0</v>
      </c>
      <c r="P339" s="28">
        <f>SUMIF(Transactions!$K$19:$K$46,'Percentage Calc'!$E339,Transactions!O$19:O$46)</f>
        <v>0</v>
      </c>
      <c r="Q339" s="28">
        <f>SUMIF(Transactions!$K$19:$K$46,'Percentage Calc'!$E339,Transactions!P$19:P$46)</f>
        <v>0</v>
      </c>
      <c r="R339" s="28">
        <f t="shared" si="28"/>
        <v>0</v>
      </c>
      <c r="S339" s="28">
        <f t="shared" si="29"/>
        <v>0</v>
      </c>
    </row>
    <row r="340" spans="1:19" x14ac:dyDescent="0.35">
      <c r="A340" s="9"/>
      <c r="B340" s="32"/>
      <c r="C340" s="28">
        <f>IF(Check!$B$87=1,1,IF(R340&lt;1,0,1))</f>
        <v>1</v>
      </c>
      <c r="D340" s="28">
        <f t="shared" si="30"/>
        <v>1</v>
      </c>
      <c r="E340" s="32">
        <v>46164</v>
      </c>
      <c r="F340" s="28">
        <f>SUMIF(Transactions!$C$18:$C$46,'Percentage Calc'!$E340,Transactions!D$18:D$46)</f>
        <v>0</v>
      </c>
      <c r="G340" s="28">
        <f>SUMIF(Transactions!$C$18:$C$46,'Percentage Calc'!$E340,Transactions!E$18:E$46)</f>
        <v>0</v>
      </c>
      <c r="H340" s="28">
        <f>SUMIF(Transactions!$C$18:$C$46,'Percentage Calc'!$E340,Transactions!F$18:F$46)</f>
        <v>0</v>
      </c>
      <c r="I340" s="28">
        <f>SUMIF(Transactions!$C$18:$C$46,'Percentage Calc'!$E340,Transactions!G$18:G$46)</f>
        <v>0</v>
      </c>
      <c r="J340" s="28">
        <f t="shared" si="26"/>
        <v>0</v>
      </c>
      <c r="K340" s="28">
        <f t="shared" si="27"/>
        <v>0</v>
      </c>
      <c r="L340" s="32"/>
      <c r="M340" s="28">
        <f>SUMIF(Transactions!$K$19:$K$46,'Percentage Calc'!$E340,Transactions!L$19:L$46)</f>
        <v>0</v>
      </c>
      <c r="N340" s="28">
        <f>SUMIF(Transactions!$K$19:$K$46,'Percentage Calc'!$E340,Transactions!M$19:M$46)</f>
        <v>0</v>
      </c>
      <c r="O340" s="28">
        <f>SUMIF(Transactions!$K$19:$K$46,'Percentage Calc'!$E340,Transactions!N$19:N$46)</f>
        <v>0</v>
      </c>
      <c r="P340" s="28">
        <f>SUMIF(Transactions!$K$19:$K$46,'Percentage Calc'!$E340,Transactions!O$19:O$46)</f>
        <v>0</v>
      </c>
      <c r="Q340" s="28">
        <f>SUMIF(Transactions!$K$19:$K$46,'Percentage Calc'!$E340,Transactions!P$19:P$46)</f>
        <v>0</v>
      </c>
      <c r="R340" s="28">
        <f t="shared" si="28"/>
        <v>0</v>
      </c>
      <c r="S340" s="28">
        <f t="shared" si="29"/>
        <v>0</v>
      </c>
    </row>
    <row r="341" spans="1:19" x14ac:dyDescent="0.35">
      <c r="A341" s="9"/>
      <c r="B341" s="32"/>
      <c r="C341" s="28">
        <f>IF(Check!$B$87=1,1,IF(R341&lt;1,0,1))</f>
        <v>1</v>
      </c>
      <c r="D341" s="28">
        <f t="shared" si="30"/>
        <v>1</v>
      </c>
      <c r="E341" s="32">
        <v>46165</v>
      </c>
      <c r="F341" s="28">
        <f>SUMIF(Transactions!$C$18:$C$46,'Percentage Calc'!$E341,Transactions!D$18:D$46)</f>
        <v>0</v>
      </c>
      <c r="G341" s="28">
        <f>SUMIF(Transactions!$C$18:$C$46,'Percentage Calc'!$E341,Transactions!E$18:E$46)</f>
        <v>0</v>
      </c>
      <c r="H341" s="28">
        <f>SUMIF(Transactions!$C$18:$C$46,'Percentage Calc'!$E341,Transactions!F$18:F$46)</f>
        <v>0</v>
      </c>
      <c r="I341" s="28">
        <f>SUMIF(Transactions!$C$18:$C$46,'Percentage Calc'!$E341,Transactions!G$18:G$46)</f>
        <v>0</v>
      </c>
      <c r="J341" s="28">
        <f t="shared" si="26"/>
        <v>0</v>
      </c>
      <c r="K341" s="28">
        <f t="shared" si="27"/>
        <v>0</v>
      </c>
      <c r="L341" s="32"/>
      <c r="M341" s="28">
        <f>SUMIF(Transactions!$K$19:$K$46,'Percentage Calc'!$E341,Transactions!L$19:L$46)</f>
        <v>0</v>
      </c>
      <c r="N341" s="28">
        <f>SUMIF(Transactions!$K$19:$K$46,'Percentage Calc'!$E341,Transactions!M$19:M$46)</f>
        <v>0</v>
      </c>
      <c r="O341" s="28">
        <f>SUMIF(Transactions!$K$19:$K$46,'Percentage Calc'!$E341,Transactions!N$19:N$46)</f>
        <v>0</v>
      </c>
      <c r="P341" s="28">
        <f>SUMIF(Transactions!$K$19:$K$46,'Percentage Calc'!$E341,Transactions!O$19:O$46)</f>
        <v>0</v>
      </c>
      <c r="Q341" s="28">
        <f>SUMIF(Transactions!$K$19:$K$46,'Percentage Calc'!$E341,Transactions!P$19:P$46)</f>
        <v>0</v>
      </c>
      <c r="R341" s="28">
        <f t="shared" si="28"/>
        <v>0</v>
      </c>
      <c r="S341" s="28">
        <f t="shared" si="29"/>
        <v>0</v>
      </c>
    </row>
    <row r="342" spans="1:19" x14ac:dyDescent="0.35">
      <c r="A342" s="9"/>
      <c r="B342" s="32"/>
      <c r="C342" s="28">
        <f>IF(Check!$B$87=1,1,IF(R342&lt;1,0,1))</f>
        <v>1</v>
      </c>
      <c r="D342" s="28">
        <f t="shared" si="30"/>
        <v>1</v>
      </c>
      <c r="E342" s="32">
        <v>46166</v>
      </c>
      <c r="F342" s="28">
        <f>SUMIF(Transactions!$C$18:$C$46,'Percentage Calc'!$E342,Transactions!D$18:D$46)</f>
        <v>0</v>
      </c>
      <c r="G342" s="28">
        <f>SUMIF(Transactions!$C$18:$C$46,'Percentage Calc'!$E342,Transactions!E$18:E$46)</f>
        <v>0</v>
      </c>
      <c r="H342" s="28">
        <f>SUMIF(Transactions!$C$18:$C$46,'Percentage Calc'!$E342,Transactions!F$18:F$46)</f>
        <v>0</v>
      </c>
      <c r="I342" s="28">
        <f>SUMIF(Transactions!$C$18:$C$46,'Percentage Calc'!$E342,Transactions!G$18:G$46)</f>
        <v>0</v>
      </c>
      <c r="J342" s="28">
        <f t="shared" si="26"/>
        <v>0</v>
      </c>
      <c r="K342" s="28">
        <f t="shared" si="27"/>
        <v>0</v>
      </c>
      <c r="L342" s="32"/>
      <c r="M342" s="28">
        <f>SUMIF(Transactions!$K$19:$K$46,'Percentage Calc'!$E342,Transactions!L$19:L$46)</f>
        <v>0</v>
      </c>
      <c r="N342" s="28">
        <f>SUMIF(Transactions!$K$19:$K$46,'Percentage Calc'!$E342,Transactions!M$19:M$46)</f>
        <v>0</v>
      </c>
      <c r="O342" s="28">
        <f>SUMIF(Transactions!$K$19:$K$46,'Percentage Calc'!$E342,Transactions!N$19:N$46)</f>
        <v>0</v>
      </c>
      <c r="P342" s="28">
        <f>SUMIF(Transactions!$K$19:$K$46,'Percentage Calc'!$E342,Transactions!O$19:O$46)</f>
        <v>0</v>
      </c>
      <c r="Q342" s="28">
        <f>SUMIF(Transactions!$K$19:$K$46,'Percentage Calc'!$E342,Transactions!P$19:P$46)</f>
        <v>0</v>
      </c>
      <c r="R342" s="28">
        <f t="shared" si="28"/>
        <v>0</v>
      </c>
      <c r="S342" s="28">
        <f t="shared" si="29"/>
        <v>0</v>
      </c>
    </row>
    <row r="343" spans="1:19" x14ac:dyDescent="0.35">
      <c r="A343" s="9"/>
      <c r="B343" s="32"/>
      <c r="C343" s="28">
        <f>IF(Check!$B$87=1,1,IF(R343&lt;1,0,1))</f>
        <v>1</v>
      </c>
      <c r="D343" s="28">
        <f t="shared" si="30"/>
        <v>1</v>
      </c>
      <c r="E343" s="32">
        <v>46167</v>
      </c>
      <c r="F343" s="28">
        <f>SUMIF(Transactions!$C$18:$C$46,'Percentage Calc'!$E343,Transactions!D$18:D$46)</f>
        <v>0</v>
      </c>
      <c r="G343" s="28">
        <f>SUMIF(Transactions!$C$18:$C$46,'Percentage Calc'!$E343,Transactions!E$18:E$46)</f>
        <v>0</v>
      </c>
      <c r="H343" s="28">
        <f>SUMIF(Transactions!$C$18:$C$46,'Percentage Calc'!$E343,Transactions!F$18:F$46)</f>
        <v>0</v>
      </c>
      <c r="I343" s="28">
        <f>SUMIF(Transactions!$C$18:$C$46,'Percentage Calc'!$E343,Transactions!G$18:G$46)</f>
        <v>0</v>
      </c>
      <c r="J343" s="28">
        <f t="shared" si="26"/>
        <v>0</v>
      </c>
      <c r="K343" s="28">
        <f t="shared" si="27"/>
        <v>0</v>
      </c>
      <c r="L343" s="32"/>
      <c r="M343" s="28">
        <f>SUMIF(Transactions!$K$19:$K$46,'Percentage Calc'!$E343,Transactions!L$19:L$46)</f>
        <v>0</v>
      </c>
      <c r="N343" s="28">
        <f>SUMIF(Transactions!$K$19:$K$46,'Percentage Calc'!$E343,Transactions!M$19:M$46)</f>
        <v>0</v>
      </c>
      <c r="O343" s="28">
        <f>SUMIF(Transactions!$K$19:$K$46,'Percentage Calc'!$E343,Transactions!N$19:N$46)</f>
        <v>0</v>
      </c>
      <c r="P343" s="28">
        <f>SUMIF(Transactions!$K$19:$K$46,'Percentage Calc'!$E343,Transactions!O$19:O$46)</f>
        <v>0</v>
      </c>
      <c r="Q343" s="28">
        <f>SUMIF(Transactions!$K$19:$K$46,'Percentage Calc'!$E343,Transactions!P$19:P$46)</f>
        <v>0</v>
      </c>
      <c r="R343" s="28">
        <f t="shared" si="28"/>
        <v>0</v>
      </c>
      <c r="S343" s="28">
        <f t="shared" si="29"/>
        <v>0</v>
      </c>
    </row>
    <row r="344" spans="1:19" x14ac:dyDescent="0.35">
      <c r="A344" s="9"/>
      <c r="B344" s="32"/>
      <c r="C344" s="28">
        <f>IF(Check!$B$87=1,1,IF(R344&lt;1,0,1))</f>
        <v>1</v>
      </c>
      <c r="D344" s="28">
        <f t="shared" si="30"/>
        <v>1</v>
      </c>
      <c r="E344" s="32">
        <v>46168</v>
      </c>
      <c r="F344" s="28">
        <f>SUMIF(Transactions!$C$18:$C$46,'Percentage Calc'!$E344,Transactions!D$18:D$46)</f>
        <v>0</v>
      </c>
      <c r="G344" s="28">
        <f>SUMIF(Transactions!$C$18:$C$46,'Percentage Calc'!$E344,Transactions!E$18:E$46)</f>
        <v>0</v>
      </c>
      <c r="H344" s="28">
        <f>SUMIF(Transactions!$C$18:$C$46,'Percentage Calc'!$E344,Transactions!F$18:F$46)</f>
        <v>0</v>
      </c>
      <c r="I344" s="28">
        <f>SUMIF(Transactions!$C$18:$C$46,'Percentage Calc'!$E344,Transactions!G$18:G$46)</f>
        <v>0</v>
      </c>
      <c r="J344" s="28">
        <f t="shared" si="26"/>
        <v>0</v>
      </c>
      <c r="K344" s="28">
        <f t="shared" si="27"/>
        <v>0</v>
      </c>
      <c r="L344" s="32"/>
      <c r="M344" s="28">
        <f>SUMIF(Transactions!$K$19:$K$46,'Percentage Calc'!$E344,Transactions!L$19:L$46)</f>
        <v>0</v>
      </c>
      <c r="N344" s="28">
        <f>SUMIF(Transactions!$K$19:$K$46,'Percentage Calc'!$E344,Transactions!M$19:M$46)</f>
        <v>0</v>
      </c>
      <c r="O344" s="28">
        <f>SUMIF(Transactions!$K$19:$K$46,'Percentage Calc'!$E344,Transactions!N$19:N$46)</f>
        <v>0</v>
      </c>
      <c r="P344" s="28">
        <f>SUMIF(Transactions!$K$19:$K$46,'Percentage Calc'!$E344,Transactions!O$19:O$46)</f>
        <v>0</v>
      </c>
      <c r="Q344" s="28">
        <f>SUMIF(Transactions!$K$19:$K$46,'Percentage Calc'!$E344,Transactions!P$19:P$46)</f>
        <v>0</v>
      </c>
      <c r="R344" s="28">
        <f t="shared" si="28"/>
        <v>0</v>
      </c>
      <c r="S344" s="28">
        <f t="shared" si="29"/>
        <v>0</v>
      </c>
    </row>
    <row r="345" spans="1:19" x14ac:dyDescent="0.35">
      <c r="A345" s="9"/>
      <c r="B345" s="32"/>
      <c r="C345" s="28">
        <f>IF(Check!$B$87=1,1,IF(R345&lt;1,0,1))</f>
        <v>1</v>
      </c>
      <c r="D345" s="28">
        <f t="shared" si="30"/>
        <v>1</v>
      </c>
      <c r="E345" s="32">
        <v>46169</v>
      </c>
      <c r="F345" s="28">
        <f>SUMIF(Transactions!$C$18:$C$46,'Percentage Calc'!$E345,Transactions!D$18:D$46)</f>
        <v>0</v>
      </c>
      <c r="G345" s="28">
        <f>SUMIF(Transactions!$C$18:$C$46,'Percentage Calc'!$E345,Transactions!E$18:E$46)</f>
        <v>0</v>
      </c>
      <c r="H345" s="28">
        <f>SUMIF(Transactions!$C$18:$C$46,'Percentage Calc'!$E345,Transactions!F$18:F$46)</f>
        <v>0</v>
      </c>
      <c r="I345" s="28">
        <f>SUMIF(Transactions!$C$18:$C$46,'Percentage Calc'!$E345,Transactions!G$18:G$46)</f>
        <v>0</v>
      </c>
      <c r="J345" s="28">
        <f t="shared" si="26"/>
        <v>0</v>
      </c>
      <c r="K345" s="28">
        <f t="shared" si="27"/>
        <v>0</v>
      </c>
      <c r="L345" s="32"/>
      <c r="M345" s="28">
        <f>SUMIF(Transactions!$K$19:$K$46,'Percentage Calc'!$E345,Transactions!L$19:L$46)</f>
        <v>0</v>
      </c>
      <c r="N345" s="28">
        <f>SUMIF(Transactions!$K$19:$K$46,'Percentage Calc'!$E345,Transactions!M$19:M$46)</f>
        <v>0</v>
      </c>
      <c r="O345" s="28">
        <f>SUMIF(Transactions!$K$19:$K$46,'Percentage Calc'!$E345,Transactions!N$19:N$46)</f>
        <v>0</v>
      </c>
      <c r="P345" s="28">
        <f>SUMIF(Transactions!$K$19:$K$46,'Percentage Calc'!$E345,Transactions!O$19:O$46)</f>
        <v>0</v>
      </c>
      <c r="Q345" s="28">
        <f>SUMIF(Transactions!$K$19:$K$46,'Percentage Calc'!$E345,Transactions!P$19:P$46)</f>
        <v>0</v>
      </c>
      <c r="R345" s="28">
        <f t="shared" si="28"/>
        <v>0</v>
      </c>
      <c r="S345" s="28">
        <f t="shared" si="29"/>
        <v>0</v>
      </c>
    </row>
    <row r="346" spans="1:19" x14ac:dyDescent="0.35">
      <c r="A346" s="9"/>
      <c r="B346" s="32"/>
      <c r="C346" s="28">
        <f>IF(Check!$B$87=1,1,IF(R346&lt;1,0,1))</f>
        <v>1</v>
      </c>
      <c r="D346" s="28">
        <f t="shared" si="30"/>
        <v>1</v>
      </c>
      <c r="E346" s="32">
        <v>46170</v>
      </c>
      <c r="F346" s="28">
        <f>SUMIF(Transactions!$C$18:$C$46,'Percentage Calc'!$E346,Transactions!D$18:D$46)</f>
        <v>0</v>
      </c>
      <c r="G346" s="28">
        <f>SUMIF(Transactions!$C$18:$C$46,'Percentage Calc'!$E346,Transactions!E$18:E$46)</f>
        <v>0</v>
      </c>
      <c r="H346" s="28">
        <f>SUMIF(Transactions!$C$18:$C$46,'Percentage Calc'!$E346,Transactions!F$18:F$46)</f>
        <v>0</v>
      </c>
      <c r="I346" s="28">
        <f>SUMIF(Transactions!$C$18:$C$46,'Percentage Calc'!$E346,Transactions!G$18:G$46)</f>
        <v>0</v>
      </c>
      <c r="J346" s="28">
        <f t="shared" si="26"/>
        <v>0</v>
      </c>
      <c r="K346" s="28">
        <f t="shared" si="27"/>
        <v>0</v>
      </c>
      <c r="L346" s="32"/>
      <c r="M346" s="28">
        <f>SUMIF(Transactions!$K$19:$K$46,'Percentage Calc'!$E346,Transactions!L$19:L$46)</f>
        <v>0</v>
      </c>
      <c r="N346" s="28">
        <f>SUMIF(Transactions!$K$19:$K$46,'Percentage Calc'!$E346,Transactions!M$19:M$46)</f>
        <v>0</v>
      </c>
      <c r="O346" s="28">
        <f>SUMIF(Transactions!$K$19:$K$46,'Percentage Calc'!$E346,Transactions!N$19:N$46)</f>
        <v>0</v>
      </c>
      <c r="P346" s="28">
        <f>SUMIF(Transactions!$K$19:$K$46,'Percentage Calc'!$E346,Transactions!O$19:O$46)</f>
        <v>0</v>
      </c>
      <c r="Q346" s="28">
        <f>SUMIF(Transactions!$K$19:$K$46,'Percentage Calc'!$E346,Transactions!P$19:P$46)</f>
        <v>0</v>
      </c>
      <c r="R346" s="28">
        <f t="shared" si="28"/>
        <v>0</v>
      </c>
      <c r="S346" s="28">
        <f t="shared" si="29"/>
        <v>0</v>
      </c>
    </row>
    <row r="347" spans="1:19" x14ac:dyDescent="0.35">
      <c r="A347" s="9"/>
      <c r="B347" s="32"/>
      <c r="C347" s="28">
        <f>IF(Check!$B$87=1,1,IF(R347&lt;1,0,1))</f>
        <v>1</v>
      </c>
      <c r="D347" s="28">
        <f t="shared" si="30"/>
        <v>1</v>
      </c>
      <c r="E347" s="32">
        <v>46171</v>
      </c>
      <c r="F347" s="28">
        <f>SUMIF(Transactions!$C$18:$C$46,'Percentage Calc'!$E347,Transactions!D$18:D$46)</f>
        <v>0</v>
      </c>
      <c r="G347" s="28">
        <f>SUMIF(Transactions!$C$18:$C$46,'Percentage Calc'!$E347,Transactions!E$18:E$46)</f>
        <v>0</v>
      </c>
      <c r="H347" s="28">
        <f>SUMIF(Transactions!$C$18:$C$46,'Percentage Calc'!$E347,Transactions!F$18:F$46)</f>
        <v>0</v>
      </c>
      <c r="I347" s="28">
        <f>SUMIF(Transactions!$C$18:$C$46,'Percentage Calc'!$E347,Transactions!G$18:G$46)</f>
        <v>0</v>
      </c>
      <c r="J347" s="28">
        <f t="shared" si="26"/>
        <v>0</v>
      </c>
      <c r="K347" s="28">
        <f t="shared" si="27"/>
        <v>0</v>
      </c>
      <c r="L347" s="32"/>
      <c r="M347" s="28">
        <f>SUMIF(Transactions!$K$19:$K$46,'Percentage Calc'!$E347,Transactions!L$19:L$46)</f>
        <v>0</v>
      </c>
      <c r="N347" s="28">
        <f>SUMIF(Transactions!$K$19:$K$46,'Percentage Calc'!$E347,Transactions!M$19:M$46)</f>
        <v>0</v>
      </c>
      <c r="O347" s="28">
        <f>SUMIF(Transactions!$K$19:$K$46,'Percentage Calc'!$E347,Transactions!N$19:N$46)</f>
        <v>0</v>
      </c>
      <c r="P347" s="28">
        <f>SUMIF(Transactions!$K$19:$K$46,'Percentage Calc'!$E347,Transactions!O$19:O$46)</f>
        <v>0</v>
      </c>
      <c r="Q347" s="28">
        <f>SUMIF(Transactions!$K$19:$K$46,'Percentage Calc'!$E347,Transactions!P$19:P$46)</f>
        <v>0</v>
      </c>
      <c r="R347" s="28">
        <f t="shared" si="28"/>
        <v>0</v>
      </c>
      <c r="S347" s="28">
        <f t="shared" si="29"/>
        <v>0</v>
      </c>
    </row>
    <row r="348" spans="1:19" x14ac:dyDescent="0.35">
      <c r="A348" s="9"/>
      <c r="B348" s="32"/>
      <c r="C348" s="28">
        <f>IF(Check!$B$87=1,1,IF(R348&lt;1,0,1))</f>
        <v>1</v>
      </c>
      <c r="D348" s="28">
        <f t="shared" si="30"/>
        <v>1</v>
      </c>
      <c r="E348" s="32">
        <v>46172</v>
      </c>
      <c r="F348" s="28">
        <f>SUMIF(Transactions!$C$18:$C$46,'Percentage Calc'!$E348,Transactions!D$18:D$46)</f>
        <v>0</v>
      </c>
      <c r="G348" s="28">
        <f>SUMIF(Transactions!$C$18:$C$46,'Percentage Calc'!$E348,Transactions!E$18:E$46)</f>
        <v>0</v>
      </c>
      <c r="H348" s="28">
        <f>SUMIF(Transactions!$C$18:$C$46,'Percentage Calc'!$E348,Transactions!F$18:F$46)</f>
        <v>0</v>
      </c>
      <c r="I348" s="28">
        <f>SUMIF(Transactions!$C$18:$C$46,'Percentage Calc'!$E348,Transactions!G$18:G$46)</f>
        <v>0</v>
      </c>
      <c r="J348" s="28">
        <f t="shared" si="26"/>
        <v>0</v>
      </c>
      <c r="K348" s="28">
        <f t="shared" si="27"/>
        <v>0</v>
      </c>
      <c r="L348" s="32"/>
      <c r="M348" s="28">
        <f>SUMIF(Transactions!$K$19:$K$46,'Percentage Calc'!$E348,Transactions!L$19:L$46)</f>
        <v>0</v>
      </c>
      <c r="N348" s="28">
        <f>SUMIF(Transactions!$K$19:$K$46,'Percentage Calc'!$E348,Transactions!M$19:M$46)</f>
        <v>0</v>
      </c>
      <c r="O348" s="28">
        <f>SUMIF(Transactions!$K$19:$K$46,'Percentage Calc'!$E348,Transactions!N$19:N$46)</f>
        <v>0</v>
      </c>
      <c r="P348" s="28">
        <f>SUMIF(Transactions!$K$19:$K$46,'Percentage Calc'!$E348,Transactions!O$19:O$46)</f>
        <v>0</v>
      </c>
      <c r="Q348" s="28">
        <f>SUMIF(Transactions!$K$19:$K$46,'Percentage Calc'!$E348,Transactions!P$19:P$46)</f>
        <v>0</v>
      </c>
      <c r="R348" s="28">
        <f t="shared" si="28"/>
        <v>0</v>
      </c>
      <c r="S348" s="28">
        <f t="shared" si="29"/>
        <v>0</v>
      </c>
    </row>
    <row r="349" spans="1:19" x14ac:dyDescent="0.35">
      <c r="A349" s="9"/>
      <c r="B349" s="32"/>
      <c r="C349" s="28">
        <f>IF(Check!$B$87=1,1,IF(R349&lt;1,0,1))</f>
        <v>1</v>
      </c>
      <c r="D349" s="28">
        <f t="shared" si="30"/>
        <v>1</v>
      </c>
      <c r="E349" s="32">
        <v>46173</v>
      </c>
      <c r="F349" s="28">
        <f>SUMIF(Transactions!$C$18:$C$46,'Percentage Calc'!$E349,Transactions!D$18:D$46)</f>
        <v>0</v>
      </c>
      <c r="G349" s="28">
        <f>SUMIF(Transactions!$C$18:$C$46,'Percentage Calc'!$E349,Transactions!E$18:E$46)</f>
        <v>0</v>
      </c>
      <c r="H349" s="28">
        <f>SUMIF(Transactions!$C$18:$C$46,'Percentage Calc'!$E349,Transactions!F$18:F$46)</f>
        <v>0</v>
      </c>
      <c r="I349" s="28">
        <f>SUMIF(Transactions!$C$18:$C$46,'Percentage Calc'!$E349,Transactions!G$18:G$46)</f>
        <v>0</v>
      </c>
      <c r="J349" s="28">
        <f t="shared" si="26"/>
        <v>0</v>
      </c>
      <c r="K349" s="28">
        <f t="shared" si="27"/>
        <v>0</v>
      </c>
      <c r="L349" s="32"/>
      <c r="M349" s="28">
        <f>SUMIF(Transactions!$K$19:$K$46,'Percentage Calc'!$E349,Transactions!L$19:L$46)</f>
        <v>0</v>
      </c>
      <c r="N349" s="28">
        <f>SUMIF(Transactions!$K$19:$K$46,'Percentage Calc'!$E349,Transactions!M$19:M$46)</f>
        <v>0</v>
      </c>
      <c r="O349" s="28">
        <f>SUMIF(Transactions!$K$19:$K$46,'Percentage Calc'!$E349,Transactions!N$19:N$46)</f>
        <v>0</v>
      </c>
      <c r="P349" s="28">
        <f>SUMIF(Transactions!$K$19:$K$46,'Percentage Calc'!$E349,Transactions!O$19:O$46)</f>
        <v>0</v>
      </c>
      <c r="Q349" s="28">
        <f>SUMIF(Transactions!$K$19:$K$46,'Percentage Calc'!$E349,Transactions!P$19:P$46)</f>
        <v>0</v>
      </c>
      <c r="R349" s="28">
        <f t="shared" si="28"/>
        <v>0</v>
      </c>
      <c r="S349" s="28">
        <f t="shared" si="29"/>
        <v>0</v>
      </c>
    </row>
    <row r="350" spans="1:19" x14ac:dyDescent="0.35">
      <c r="A350" s="9"/>
      <c r="B350" s="32"/>
      <c r="C350" s="28">
        <f>IF(Check!$B$87=1,1,IF(R350&lt;1,0,1))</f>
        <v>1</v>
      </c>
      <c r="D350" s="28">
        <f t="shared" si="30"/>
        <v>1</v>
      </c>
      <c r="E350" s="32">
        <v>46174</v>
      </c>
      <c r="F350" s="28">
        <f>SUMIF(Transactions!$C$18:$C$46,'Percentage Calc'!$E350,Transactions!D$18:D$46)</f>
        <v>0</v>
      </c>
      <c r="G350" s="28">
        <f>SUMIF(Transactions!$C$18:$C$46,'Percentage Calc'!$E350,Transactions!E$18:E$46)</f>
        <v>0</v>
      </c>
      <c r="H350" s="28">
        <f>SUMIF(Transactions!$C$18:$C$46,'Percentage Calc'!$E350,Transactions!F$18:F$46)</f>
        <v>0</v>
      </c>
      <c r="I350" s="28">
        <f>SUMIF(Transactions!$C$18:$C$46,'Percentage Calc'!$E350,Transactions!G$18:G$46)</f>
        <v>0</v>
      </c>
      <c r="J350" s="28">
        <f t="shared" si="26"/>
        <v>0</v>
      </c>
      <c r="K350" s="28">
        <f t="shared" si="27"/>
        <v>0</v>
      </c>
      <c r="L350" s="32"/>
      <c r="M350" s="28">
        <f>SUMIF(Transactions!$K$19:$K$46,'Percentage Calc'!$E350,Transactions!L$19:L$46)</f>
        <v>0</v>
      </c>
      <c r="N350" s="28">
        <f>SUMIF(Transactions!$K$19:$K$46,'Percentage Calc'!$E350,Transactions!M$19:M$46)</f>
        <v>0</v>
      </c>
      <c r="O350" s="28">
        <f>SUMIF(Transactions!$K$19:$K$46,'Percentage Calc'!$E350,Transactions!N$19:N$46)</f>
        <v>0</v>
      </c>
      <c r="P350" s="28">
        <f>SUMIF(Transactions!$K$19:$K$46,'Percentage Calc'!$E350,Transactions!O$19:O$46)</f>
        <v>0</v>
      </c>
      <c r="Q350" s="28">
        <f>SUMIF(Transactions!$K$19:$K$46,'Percentage Calc'!$E350,Transactions!P$19:P$46)</f>
        <v>0</v>
      </c>
      <c r="R350" s="28">
        <f t="shared" si="28"/>
        <v>0</v>
      </c>
      <c r="S350" s="28">
        <f t="shared" si="29"/>
        <v>0</v>
      </c>
    </row>
    <row r="351" spans="1:19" x14ac:dyDescent="0.35">
      <c r="A351" s="9"/>
      <c r="B351" s="32"/>
      <c r="C351" s="28">
        <f>IF(Check!$B$87=1,1,IF(R351&lt;1,0,1))</f>
        <v>1</v>
      </c>
      <c r="D351" s="28">
        <f t="shared" si="30"/>
        <v>1</v>
      </c>
      <c r="E351" s="32">
        <v>46175</v>
      </c>
      <c r="F351" s="28">
        <f>SUMIF(Transactions!$C$18:$C$46,'Percentage Calc'!$E351,Transactions!D$18:D$46)</f>
        <v>0</v>
      </c>
      <c r="G351" s="28">
        <f>SUMIF(Transactions!$C$18:$C$46,'Percentage Calc'!$E351,Transactions!E$18:E$46)</f>
        <v>0</v>
      </c>
      <c r="H351" s="28">
        <f>SUMIF(Transactions!$C$18:$C$46,'Percentage Calc'!$E351,Transactions!F$18:F$46)</f>
        <v>0</v>
      </c>
      <c r="I351" s="28">
        <f>SUMIF(Transactions!$C$18:$C$46,'Percentage Calc'!$E351,Transactions!G$18:G$46)</f>
        <v>0</v>
      </c>
      <c r="J351" s="28">
        <f t="shared" si="26"/>
        <v>0</v>
      </c>
      <c r="K351" s="28">
        <f t="shared" si="27"/>
        <v>0</v>
      </c>
      <c r="L351" s="32"/>
      <c r="M351" s="28">
        <f>SUMIF(Transactions!$K$19:$K$46,'Percentage Calc'!$E351,Transactions!L$19:L$46)</f>
        <v>0</v>
      </c>
      <c r="N351" s="28">
        <f>SUMIF(Transactions!$K$19:$K$46,'Percentage Calc'!$E351,Transactions!M$19:M$46)</f>
        <v>0</v>
      </c>
      <c r="O351" s="28">
        <f>SUMIF(Transactions!$K$19:$K$46,'Percentage Calc'!$E351,Transactions!N$19:N$46)</f>
        <v>0</v>
      </c>
      <c r="P351" s="28">
        <f>SUMIF(Transactions!$K$19:$K$46,'Percentage Calc'!$E351,Transactions!O$19:O$46)</f>
        <v>0</v>
      </c>
      <c r="Q351" s="28">
        <f>SUMIF(Transactions!$K$19:$K$46,'Percentage Calc'!$E351,Transactions!P$19:P$46)</f>
        <v>0</v>
      </c>
      <c r="R351" s="28">
        <f t="shared" si="28"/>
        <v>0</v>
      </c>
      <c r="S351" s="28">
        <f t="shared" si="29"/>
        <v>0</v>
      </c>
    </row>
    <row r="352" spans="1:19" x14ac:dyDescent="0.35">
      <c r="A352" s="9"/>
      <c r="B352" s="32"/>
      <c r="C352" s="28">
        <f>IF(Check!$B$87=1,1,IF(R352&lt;1,0,1))</f>
        <v>1</v>
      </c>
      <c r="D352" s="28">
        <f t="shared" si="30"/>
        <v>1</v>
      </c>
      <c r="E352" s="32">
        <v>46176</v>
      </c>
      <c r="F352" s="28">
        <f>SUMIF(Transactions!$C$18:$C$46,'Percentage Calc'!$E352,Transactions!D$18:D$46)</f>
        <v>0</v>
      </c>
      <c r="G352" s="28">
        <f>SUMIF(Transactions!$C$18:$C$46,'Percentage Calc'!$E352,Transactions!E$18:E$46)</f>
        <v>0</v>
      </c>
      <c r="H352" s="28">
        <f>SUMIF(Transactions!$C$18:$C$46,'Percentage Calc'!$E352,Transactions!F$18:F$46)</f>
        <v>0</v>
      </c>
      <c r="I352" s="28">
        <f>SUMIF(Transactions!$C$18:$C$46,'Percentage Calc'!$E352,Transactions!G$18:G$46)</f>
        <v>0</v>
      </c>
      <c r="J352" s="28">
        <f t="shared" si="26"/>
        <v>0</v>
      </c>
      <c r="K352" s="28">
        <f t="shared" si="27"/>
        <v>0</v>
      </c>
      <c r="L352" s="32"/>
      <c r="M352" s="28">
        <f>SUMIF(Transactions!$K$19:$K$46,'Percentage Calc'!$E352,Transactions!L$19:L$46)</f>
        <v>0</v>
      </c>
      <c r="N352" s="28">
        <f>SUMIF(Transactions!$K$19:$K$46,'Percentage Calc'!$E352,Transactions!M$19:M$46)</f>
        <v>0</v>
      </c>
      <c r="O352" s="28">
        <f>SUMIF(Transactions!$K$19:$K$46,'Percentage Calc'!$E352,Transactions!N$19:N$46)</f>
        <v>0</v>
      </c>
      <c r="P352" s="28">
        <f>SUMIF(Transactions!$K$19:$K$46,'Percentage Calc'!$E352,Transactions!O$19:O$46)</f>
        <v>0</v>
      </c>
      <c r="Q352" s="28">
        <f>SUMIF(Transactions!$K$19:$K$46,'Percentage Calc'!$E352,Transactions!P$19:P$46)</f>
        <v>0</v>
      </c>
      <c r="R352" s="28">
        <f t="shared" si="28"/>
        <v>0</v>
      </c>
      <c r="S352" s="28">
        <f t="shared" si="29"/>
        <v>0</v>
      </c>
    </row>
    <row r="353" spans="1:19" x14ac:dyDescent="0.35">
      <c r="A353" s="9"/>
      <c r="B353" s="32"/>
      <c r="C353" s="28">
        <f>IF(Check!$B$87=1,1,IF(R353&lt;1,0,1))</f>
        <v>1</v>
      </c>
      <c r="D353" s="28">
        <f t="shared" si="30"/>
        <v>1</v>
      </c>
      <c r="E353" s="32">
        <v>46177</v>
      </c>
      <c r="F353" s="28">
        <f>SUMIF(Transactions!$C$18:$C$46,'Percentage Calc'!$E353,Transactions!D$18:D$46)</f>
        <v>0</v>
      </c>
      <c r="G353" s="28">
        <f>SUMIF(Transactions!$C$18:$C$46,'Percentage Calc'!$E353,Transactions!E$18:E$46)</f>
        <v>0</v>
      </c>
      <c r="H353" s="28">
        <f>SUMIF(Transactions!$C$18:$C$46,'Percentage Calc'!$E353,Transactions!F$18:F$46)</f>
        <v>0</v>
      </c>
      <c r="I353" s="28">
        <f>SUMIF(Transactions!$C$18:$C$46,'Percentage Calc'!$E353,Transactions!G$18:G$46)</f>
        <v>0</v>
      </c>
      <c r="J353" s="28">
        <f t="shared" si="26"/>
        <v>0</v>
      </c>
      <c r="K353" s="28">
        <f t="shared" si="27"/>
        <v>0</v>
      </c>
      <c r="L353" s="32"/>
      <c r="M353" s="28">
        <f>SUMIF(Transactions!$K$19:$K$46,'Percentage Calc'!$E353,Transactions!L$19:L$46)</f>
        <v>0</v>
      </c>
      <c r="N353" s="28">
        <f>SUMIF(Transactions!$K$19:$K$46,'Percentage Calc'!$E353,Transactions!M$19:M$46)</f>
        <v>0</v>
      </c>
      <c r="O353" s="28">
        <f>SUMIF(Transactions!$K$19:$K$46,'Percentage Calc'!$E353,Transactions!N$19:N$46)</f>
        <v>0</v>
      </c>
      <c r="P353" s="28">
        <f>SUMIF(Transactions!$K$19:$K$46,'Percentage Calc'!$E353,Transactions!O$19:O$46)</f>
        <v>0</v>
      </c>
      <c r="Q353" s="28">
        <f>SUMIF(Transactions!$K$19:$K$46,'Percentage Calc'!$E353,Transactions!P$19:P$46)</f>
        <v>0</v>
      </c>
      <c r="R353" s="28">
        <f t="shared" si="28"/>
        <v>0</v>
      </c>
      <c r="S353" s="28">
        <f t="shared" si="29"/>
        <v>0</v>
      </c>
    </row>
    <row r="354" spans="1:19" x14ac:dyDescent="0.35">
      <c r="A354" s="9"/>
      <c r="B354" s="32"/>
      <c r="C354" s="28">
        <f>IF(Check!$B$87=1,1,IF(R354&lt;1,0,1))</f>
        <v>1</v>
      </c>
      <c r="D354" s="28">
        <f t="shared" si="30"/>
        <v>1</v>
      </c>
      <c r="E354" s="32">
        <v>46178</v>
      </c>
      <c r="F354" s="28">
        <f>SUMIF(Transactions!$C$18:$C$46,'Percentage Calc'!$E354,Transactions!D$18:D$46)</f>
        <v>0</v>
      </c>
      <c r="G354" s="28">
        <f>SUMIF(Transactions!$C$18:$C$46,'Percentage Calc'!$E354,Transactions!E$18:E$46)</f>
        <v>0</v>
      </c>
      <c r="H354" s="28">
        <f>SUMIF(Transactions!$C$18:$C$46,'Percentage Calc'!$E354,Transactions!F$18:F$46)</f>
        <v>0</v>
      </c>
      <c r="I354" s="28">
        <f>SUMIF(Transactions!$C$18:$C$46,'Percentage Calc'!$E354,Transactions!G$18:G$46)</f>
        <v>0</v>
      </c>
      <c r="J354" s="28">
        <f t="shared" si="26"/>
        <v>0</v>
      </c>
      <c r="K354" s="28">
        <f t="shared" si="27"/>
        <v>0</v>
      </c>
      <c r="L354" s="32"/>
      <c r="M354" s="28">
        <f>SUMIF(Transactions!$K$19:$K$46,'Percentage Calc'!$E354,Transactions!L$19:L$46)</f>
        <v>0</v>
      </c>
      <c r="N354" s="28">
        <f>SUMIF(Transactions!$K$19:$K$46,'Percentage Calc'!$E354,Transactions!M$19:M$46)</f>
        <v>0</v>
      </c>
      <c r="O354" s="28">
        <f>SUMIF(Transactions!$K$19:$K$46,'Percentage Calc'!$E354,Transactions!N$19:N$46)</f>
        <v>0</v>
      </c>
      <c r="P354" s="28">
        <f>SUMIF(Transactions!$K$19:$K$46,'Percentage Calc'!$E354,Transactions!O$19:O$46)</f>
        <v>0</v>
      </c>
      <c r="Q354" s="28">
        <f>SUMIF(Transactions!$K$19:$K$46,'Percentage Calc'!$E354,Transactions!P$19:P$46)</f>
        <v>0</v>
      </c>
      <c r="R354" s="28">
        <f t="shared" si="28"/>
        <v>0</v>
      </c>
      <c r="S354" s="28">
        <f t="shared" si="29"/>
        <v>0</v>
      </c>
    </row>
    <row r="355" spans="1:19" x14ac:dyDescent="0.35">
      <c r="A355" s="9"/>
      <c r="B355" s="32"/>
      <c r="C355" s="28">
        <f>IF(Check!$B$87=1,1,IF(R355&lt;1,0,1))</f>
        <v>1</v>
      </c>
      <c r="D355" s="28">
        <f t="shared" si="30"/>
        <v>1</v>
      </c>
      <c r="E355" s="32">
        <v>46179</v>
      </c>
      <c r="F355" s="28">
        <f>SUMIF(Transactions!$C$18:$C$46,'Percentage Calc'!$E355,Transactions!D$18:D$46)</f>
        <v>0</v>
      </c>
      <c r="G355" s="28">
        <f>SUMIF(Transactions!$C$18:$C$46,'Percentage Calc'!$E355,Transactions!E$18:E$46)</f>
        <v>0</v>
      </c>
      <c r="H355" s="28">
        <f>SUMIF(Transactions!$C$18:$C$46,'Percentage Calc'!$E355,Transactions!F$18:F$46)</f>
        <v>0</v>
      </c>
      <c r="I355" s="28">
        <f>SUMIF(Transactions!$C$18:$C$46,'Percentage Calc'!$E355,Transactions!G$18:G$46)</f>
        <v>0</v>
      </c>
      <c r="J355" s="28">
        <f t="shared" ref="J355:J379" si="31">SUM(F355:I355)+J354</f>
        <v>0</v>
      </c>
      <c r="K355" s="28">
        <f t="shared" ref="K355:K379" si="32">ROUND($C355*J355/$E$4,3)</f>
        <v>0</v>
      </c>
      <c r="L355" s="32"/>
      <c r="M355" s="28">
        <f>SUMIF(Transactions!$K$19:$K$46,'Percentage Calc'!$E355,Transactions!L$19:L$46)</f>
        <v>0</v>
      </c>
      <c r="N355" s="28">
        <f>SUMIF(Transactions!$K$19:$K$46,'Percentage Calc'!$E355,Transactions!M$19:M$46)</f>
        <v>0</v>
      </c>
      <c r="O355" s="28">
        <f>SUMIF(Transactions!$K$19:$K$46,'Percentage Calc'!$E355,Transactions!N$19:N$46)</f>
        <v>0</v>
      </c>
      <c r="P355" s="28">
        <f>SUMIF(Transactions!$K$19:$K$46,'Percentage Calc'!$E355,Transactions!O$19:O$46)</f>
        <v>0</v>
      </c>
      <c r="Q355" s="28">
        <f>SUMIF(Transactions!$K$19:$K$46,'Percentage Calc'!$E355,Transactions!P$19:P$46)</f>
        <v>0</v>
      </c>
      <c r="R355" s="28">
        <f t="shared" ref="R355:R379" si="33">SUM(M355:Q355)+R354</f>
        <v>0</v>
      </c>
      <c r="S355" s="28">
        <f t="shared" ref="S355:S379" si="34">ROUND($C355*R355/$E$4,3)</f>
        <v>0</v>
      </c>
    </row>
    <row r="356" spans="1:19" x14ac:dyDescent="0.35">
      <c r="A356" s="9"/>
      <c r="B356" s="32"/>
      <c r="C356" s="28">
        <f>IF(Check!$B$87=1,1,IF(R356&lt;1,0,1))</f>
        <v>1</v>
      </c>
      <c r="D356" s="28">
        <f t="shared" si="30"/>
        <v>1</v>
      </c>
      <c r="E356" s="32">
        <v>46180</v>
      </c>
      <c r="F356" s="28">
        <f>SUMIF(Transactions!$C$18:$C$46,'Percentage Calc'!$E356,Transactions!D$18:D$46)</f>
        <v>0</v>
      </c>
      <c r="G356" s="28">
        <f>SUMIF(Transactions!$C$18:$C$46,'Percentage Calc'!$E356,Transactions!E$18:E$46)</f>
        <v>0</v>
      </c>
      <c r="H356" s="28">
        <f>SUMIF(Transactions!$C$18:$C$46,'Percentage Calc'!$E356,Transactions!F$18:F$46)</f>
        <v>0</v>
      </c>
      <c r="I356" s="28">
        <f>SUMIF(Transactions!$C$18:$C$46,'Percentage Calc'!$E356,Transactions!G$18:G$46)</f>
        <v>0</v>
      </c>
      <c r="J356" s="28">
        <f t="shared" si="31"/>
        <v>0</v>
      </c>
      <c r="K356" s="28">
        <f t="shared" si="32"/>
        <v>0</v>
      </c>
      <c r="L356" s="32"/>
      <c r="M356" s="28">
        <f>SUMIF(Transactions!$K$19:$K$46,'Percentage Calc'!$E356,Transactions!L$19:L$46)</f>
        <v>0</v>
      </c>
      <c r="N356" s="28">
        <f>SUMIF(Transactions!$K$19:$K$46,'Percentage Calc'!$E356,Transactions!M$19:M$46)</f>
        <v>0</v>
      </c>
      <c r="O356" s="28">
        <f>SUMIF(Transactions!$K$19:$K$46,'Percentage Calc'!$E356,Transactions!N$19:N$46)</f>
        <v>0</v>
      </c>
      <c r="P356" s="28">
        <f>SUMIF(Transactions!$K$19:$K$46,'Percentage Calc'!$E356,Transactions!O$19:O$46)</f>
        <v>0</v>
      </c>
      <c r="Q356" s="28">
        <f>SUMIF(Transactions!$K$19:$K$46,'Percentage Calc'!$E356,Transactions!P$19:P$46)</f>
        <v>0</v>
      </c>
      <c r="R356" s="28">
        <f t="shared" si="33"/>
        <v>0</v>
      </c>
      <c r="S356" s="28">
        <f t="shared" si="34"/>
        <v>0</v>
      </c>
    </row>
    <row r="357" spans="1:19" x14ac:dyDescent="0.35">
      <c r="A357" s="9"/>
      <c r="B357" s="32"/>
      <c r="C357" s="28">
        <f>IF(Check!$B$87=1,1,IF(R357&lt;1,0,1))</f>
        <v>1</v>
      </c>
      <c r="D357" s="28">
        <f t="shared" si="30"/>
        <v>1</v>
      </c>
      <c r="E357" s="32">
        <v>46181</v>
      </c>
      <c r="F357" s="28">
        <f>SUMIF(Transactions!$C$18:$C$46,'Percentage Calc'!$E357,Transactions!D$18:D$46)</f>
        <v>0</v>
      </c>
      <c r="G357" s="28">
        <f>SUMIF(Transactions!$C$18:$C$46,'Percentage Calc'!$E357,Transactions!E$18:E$46)</f>
        <v>0</v>
      </c>
      <c r="H357" s="28">
        <f>SUMIF(Transactions!$C$18:$C$46,'Percentage Calc'!$E357,Transactions!F$18:F$46)</f>
        <v>0</v>
      </c>
      <c r="I357" s="28">
        <f>SUMIF(Transactions!$C$18:$C$46,'Percentage Calc'!$E357,Transactions!G$18:G$46)</f>
        <v>0</v>
      </c>
      <c r="J357" s="28">
        <f t="shared" si="31"/>
        <v>0</v>
      </c>
      <c r="K357" s="28">
        <f t="shared" si="32"/>
        <v>0</v>
      </c>
      <c r="L357" s="32"/>
      <c r="M357" s="28">
        <f>SUMIF(Transactions!$K$19:$K$46,'Percentage Calc'!$E357,Transactions!L$19:L$46)</f>
        <v>0</v>
      </c>
      <c r="N357" s="28">
        <f>SUMIF(Transactions!$K$19:$K$46,'Percentage Calc'!$E357,Transactions!M$19:M$46)</f>
        <v>0</v>
      </c>
      <c r="O357" s="28">
        <f>SUMIF(Transactions!$K$19:$K$46,'Percentage Calc'!$E357,Transactions!N$19:N$46)</f>
        <v>0</v>
      </c>
      <c r="P357" s="28">
        <f>SUMIF(Transactions!$K$19:$K$46,'Percentage Calc'!$E357,Transactions!O$19:O$46)</f>
        <v>0</v>
      </c>
      <c r="Q357" s="28">
        <f>SUMIF(Transactions!$K$19:$K$46,'Percentage Calc'!$E357,Transactions!P$19:P$46)</f>
        <v>0</v>
      </c>
      <c r="R357" s="28">
        <f t="shared" si="33"/>
        <v>0</v>
      </c>
      <c r="S357" s="28">
        <f t="shared" si="34"/>
        <v>0</v>
      </c>
    </row>
    <row r="358" spans="1:19" x14ac:dyDescent="0.35">
      <c r="A358" s="9"/>
      <c r="B358" s="32"/>
      <c r="C358" s="28">
        <f>IF(Check!$B$87=1,1,IF(R358&lt;1,0,1))</f>
        <v>1</v>
      </c>
      <c r="D358" s="28">
        <f t="shared" si="30"/>
        <v>1</v>
      </c>
      <c r="E358" s="32">
        <v>46182</v>
      </c>
      <c r="F358" s="28">
        <f>SUMIF(Transactions!$C$18:$C$46,'Percentage Calc'!$E358,Transactions!D$18:D$46)</f>
        <v>0</v>
      </c>
      <c r="G358" s="28">
        <f>SUMIF(Transactions!$C$18:$C$46,'Percentage Calc'!$E358,Transactions!E$18:E$46)</f>
        <v>0</v>
      </c>
      <c r="H358" s="28">
        <f>SUMIF(Transactions!$C$18:$C$46,'Percentage Calc'!$E358,Transactions!F$18:F$46)</f>
        <v>0</v>
      </c>
      <c r="I358" s="28">
        <f>SUMIF(Transactions!$C$18:$C$46,'Percentage Calc'!$E358,Transactions!G$18:G$46)</f>
        <v>0</v>
      </c>
      <c r="J358" s="28">
        <f t="shared" si="31"/>
        <v>0</v>
      </c>
      <c r="K358" s="28">
        <f t="shared" si="32"/>
        <v>0</v>
      </c>
      <c r="L358" s="32"/>
      <c r="M358" s="28">
        <f>SUMIF(Transactions!$K$19:$K$46,'Percentage Calc'!$E358,Transactions!L$19:L$46)</f>
        <v>0</v>
      </c>
      <c r="N358" s="28">
        <f>SUMIF(Transactions!$K$19:$K$46,'Percentage Calc'!$E358,Transactions!M$19:M$46)</f>
        <v>0</v>
      </c>
      <c r="O358" s="28">
        <f>SUMIF(Transactions!$K$19:$K$46,'Percentage Calc'!$E358,Transactions!N$19:N$46)</f>
        <v>0</v>
      </c>
      <c r="P358" s="28">
        <f>SUMIF(Transactions!$K$19:$K$46,'Percentage Calc'!$E358,Transactions!O$19:O$46)</f>
        <v>0</v>
      </c>
      <c r="Q358" s="28">
        <f>SUMIF(Transactions!$K$19:$K$46,'Percentage Calc'!$E358,Transactions!P$19:P$46)</f>
        <v>0</v>
      </c>
      <c r="R358" s="28">
        <f t="shared" si="33"/>
        <v>0</v>
      </c>
      <c r="S358" s="28">
        <f t="shared" si="34"/>
        <v>0</v>
      </c>
    </row>
    <row r="359" spans="1:19" x14ac:dyDescent="0.35">
      <c r="A359" s="9"/>
      <c r="B359" s="32"/>
      <c r="C359" s="28">
        <f>IF(Check!$B$87=1,1,IF(R359&lt;1,0,1))</f>
        <v>1</v>
      </c>
      <c r="D359" s="28">
        <f t="shared" si="30"/>
        <v>1</v>
      </c>
      <c r="E359" s="32">
        <v>46183</v>
      </c>
      <c r="F359" s="28">
        <f>SUMIF(Transactions!$C$18:$C$46,'Percentage Calc'!$E359,Transactions!D$18:D$46)</f>
        <v>0</v>
      </c>
      <c r="G359" s="28">
        <f>SUMIF(Transactions!$C$18:$C$46,'Percentage Calc'!$E359,Transactions!E$18:E$46)</f>
        <v>0</v>
      </c>
      <c r="H359" s="28">
        <f>SUMIF(Transactions!$C$18:$C$46,'Percentage Calc'!$E359,Transactions!F$18:F$46)</f>
        <v>0</v>
      </c>
      <c r="I359" s="28">
        <f>SUMIF(Transactions!$C$18:$C$46,'Percentage Calc'!$E359,Transactions!G$18:G$46)</f>
        <v>0</v>
      </c>
      <c r="J359" s="28">
        <f t="shared" si="31"/>
        <v>0</v>
      </c>
      <c r="K359" s="28">
        <f t="shared" si="32"/>
        <v>0</v>
      </c>
      <c r="L359" s="32"/>
      <c r="M359" s="28">
        <f>SUMIF(Transactions!$K$19:$K$46,'Percentage Calc'!$E359,Transactions!L$19:L$46)</f>
        <v>0</v>
      </c>
      <c r="N359" s="28">
        <f>SUMIF(Transactions!$K$19:$K$46,'Percentage Calc'!$E359,Transactions!M$19:M$46)</f>
        <v>0</v>
      </c>
      <c r="O359" s="28">
        <f>SUMIF(Transactions!$K$19:$K$46,'Percentage Calc'!$E359,Transactions!N$19:N$46)</f>
        <v>0</v>
      </c>
      <c r="P359" s="28">
        <f>SUMIF(Transactions!$K$19:$K$46,'Percentage Calc'!$E359,Transactions!O$19:O$46)</f>
        <v>0</v>
      </c>
      <c r="Q359" s="28">
        <f>SUMIF(Transactions!$K$19:$K$46,'Percentage Calc'!$E359,Transactions!P$19:P$46)</f>
        <v>0</v>
      </c>
      <c r="R359" s="28">
        <f t="shared" si="33"/>
        <v>0</v>
      </c>
      <c r="S359" s="28">
        <f t="shared" si="34"/>
        <v>0</v>
      </c>
    </row>
    <row r="360" spans="1:19" x14ac:dyDescent="0.35">
      <c r="A360" s="9"/>
      <c r="B360" s="32"/>
      <c r="C360" s="28">
        <f>IF(Check!$B$87=1,1,IF(R360&lt;1,0,1))</f>
        <v>1</v>
      </c>
      <c r="D360" s="28">
        <f t="shared" si="30"/>
        <v>1</v>
      </c>
      <c r="E360" s="32">
        <v>46184</v>
      </c>
      <c r="F360" s="28">
        <f>SUMIF(Transactions!$C$18:$C$46,'Percentage Calc'!$E360,Transactions!D$18:D$46)</f>
        <v>0</v>
      </c>
      <c r="G360" s="28">
        <f>SUMIF(Transactions!$C$18:$C$46,'Percentage Calc'!$E360,Transactions!E$18:E$46)</f>
        <v>0</v>
      </c>
      <c r="H360" s="28">
        <f>SUMIF(Transactions!$C$18:$C$46,'Percentage Calc'!$E360,Transactions!F$18:F$46)</f>
        <v>0</v>
      </c>
      <c r="I360" s="28">
        <f>SUMIF(Transactions!$C$18:$C$46,'Percentage Calc'!$E360,Transactions!G$18:G$46)</f>
        <v>0</v>
      </c>
      <c r="J360" s="28">
        <f t="shared" si="31"/>
        <v>0</v>
      </c>
      <c r="K360" s="28">
        <f t="shared" si="32"/>
        <v>0</v>
      </c>
      <c r="L360" s="32"/>
      <c r="M360" s="28">
        <f>SUMIF(Transactions!$K$19:$K$46,'Percentage Calc'!$E360,Transactions!L$19:L$46)</f>
        <v>0</v>
      </c>
      <c r="N360" s="28">
        <f>SUMIF(Transactions!$K$19:$K$46,'Percentage Calc'!$E360,Transactions!M$19:M$46)</f>
        <v>0</v>
      </c>
      <c r="O360" s="28">
        <f>SUMIF(Transactions!$K$19:$K$46,'Percentage Calc'!$E360,Transactions!N$19:N$46)</f>
        <v>0</v>
      </c>
      <c r="P360" s="28">
        <f>SUMIF(Transactions!$K$19:$K$46,'Percentage Calc'!$E360,Transactions!O$19:O$46)</f>
        <v>0</v>
      </c>
      <c r="Q360" s="28">
        <f>SUMIF(Transactions!$K$19:$K$46,'Percentage Calc'!$E360,Transactions!P$19:P$46)</f>
        <v>0</v>
      </c>
      <c r="R360" s="28">
        <f t="shared" si="33"/>
        <v>0</v>
      </c>
      <c r="S360" s="28">
        <f t="shared" si="34"/>
        <v>0</v>
      </c>
    </row>
    <row r="361" spans="1:19" x14ac:dyDescent="0.35">
      <c r="A361" s="9"/>
      <c r="B361" s="32"/>
      <c r="C361" s="28">
        <f>IF(Check!$B$87=1,1,IF(R361&lt;1,0,1))</f>
        <v>1</v>
      </c>
      <c r="D361" s="28">
        <f t="shared" si="30"/>
        <v>1</v>
      </c>
      <c r="E361" s="32">
        <v>46185</v>
      </c>
      <c r="F361" s="28">
        <f>SUMIF(Transactions!$C$18:$C$46,'Percentage Calc'!$E361,Transactions!D$18:D$46)</f>
        <v>0</v>
      </c>
      <c r="G361" s="28">
        <f>SUMIF(Transactions!$C$18:$C$46,'Percentage Calc'!$E361,Transactions!E$18:E$46)</f>
        <v>0</v>
      </c>
      <c r="H361" s="28">
        <f>SUMIF(Transactions!$C$18:$C$46,'Percentage Calc'!$E361,Transactions!F$18:F$46)</f>
        <v>0</v>
      </c>
      <c r="I361" s="28">
        <f>SUMIF(Transactions!$C$18:$C$46,'Percentage Calc'!$E361,Transactions!G$18:G$46)</f>
        <v>0</v>
      </c>
      <c r="J361" s="28">
        <f t="shared" si="31"/>
        <v>0</v>
      </c>
      <c r="K361" s="28">
        <f t="shared" si="32"/>
        <v>0</v>
      </c>
      <c r="L361" s="32"/>
      <c r="M361" s="28">
        <f>SUMIF(Transactions!$K$19:$K$46,'Percentage Calc'!$E361,Transactions!L$19:L$46)</f>
        <v>0</v>
      </c>
      <c r="N361" s="28">
        <f>SUMIF(Transactions!$K$19:$K$46,'Percentage Calc'!$E361,Transactions!M$19:M$46)</f>
        <v>0</v>
      </c>
      <c r="O361" s="28">
        <f>SUMIF(Transactions!$K$19:$K$46,'Percentage Calc'!$E361,Transactions!N$19:N$46)</f>
        <v>0</v>
      </c>
      <c r="P361" s="28">
        <f>SUMIF(Transactions!$K$19:$K$46,'Percentage Calc'!$E361,Transactions!O$19:O$46)</f>
        <v>0</v>
      </c>
      <c r="Q361" s="28">
        <f>SUMIF(Transactions!$K$19:$K$46,'Percentage Calc'!$E361,Transactions!P$19:P$46)</f>
        <v>0</v>
      </c>
      <c r="R361" s="28">
        <f t="shared" si="33"/>
        <v>0</v>
      </c>
      <c r="S361" s="28">
        <f t="shared" si="34"/>
        <v>0</v>
      </c>
    </row>
    <row r="362" spans="1:19" x14ac:dyDescent="0.35">
      <c r="A362" s="9"/>
      <c r="B362" s="32"/>
      <c r="C362" s="28">
        <f>IF(Check!$B$87=1,1,IF(R362&lt;1,0,1))</f>
        <v>1</v>
      </c>
      <c r="D362" s="28">
        <f t="shared" si="30"/>
        <v>1</v>
      </c>
      <c r="E362" s="32">
        <v>46186</v>
      </c>
      <c r="F362" s="28">
        <f>SUMIF(Transactions!$C$18:$C$46,'Percentage Calc'!$E362,Transactions!D$18:D$46)</f>
        <v>0</v>
      </c>
      <c r="G362" s="28">
        <f>SUMIF(Transactions!$C$18:$C$46,'Percentage Calc'!$E362,Transactions!E$18:E$46)</f>
        <v>0</v>
      </c>
      <c r="H362" s="28">
        <f>SUMIF(Transactions!$C$18:$C$46,'Percentage Calc'!$E362,Transactions!F$18:F$46)</f>
        <v>0</v>
      </c>
      <c r="I362" s="28">
        <f>SUMIF(Transactions!$C$18:$C$46,'Percentage Calc'!$E362,Transactions!G$18:G$46)</f>
        <v>0</v>
      </c>
      <c r="J362" s="28">
        <f t="shared" si="31"/>
        <v>0</v>
      </c>
      <c r="K362" s="28">
        <f t="shared" si="32"/>
        <v>0</v>
      </c>
      <c r="L362" s="32"/>
      <c r="M362" s="28">
        <f>SUMIF(Transactions!$K$19:$K$46,'Percentage Calc'!$E362,Transactions!L$19:L$46)</f>
        <v>0</v>
      </c>
      <c r="N362" s="28">
        <f>SUMIF(Transactions!$K$19:$K$46,'Percentage Calc'!$E362,Transactions!M$19:M$46)</f>
        <v>0</v>
      </c>
      <c r="O362" s="28">
        <f>SUMIF(Transactions!$K$19:$K$46,'Percentage Calc'!$E362,Transactions!N$19:N$46)</f>
        <v>0</v>
      </c>
      <c r="P362" s="28">
        <f>SUMIF(Transactions!$K$19:$K$46,'Percentage Calc'!$E362,Transactions!O$19:O$46)</f>
        <v>0</v>
      </c>
      <c r="Q362" s="28">
        <f>SUMIF(Transactions!$K$19:$K$46,'Percentage Calc'!$E362,Transactions!P$19:P$46)</f>
        <v>0</v>
      </c>
      <c r="R362" s="28">
        <f t="shared" si="33"/>
        <v>0</v>
      </c>
      <c r="S362" s="28">
        <f t="shared" si="34"/>
        <v>0</v>
      </c>
    </row>
    <row r="363" spans="1:19" x14ac:dyDescent="0.35">
      <c r="A363" s="9"/>
      <c r="B363" s="32"/>
      <c r="C363" s="28">
        <f>IF(Check!$B$87=1,1,IF(R363&lt;1,0,1))</f>
        <v>1</v>
      </c>
      <c r="D363" s="28">
        <f t="shared" si="30"/>
        <v>1</v>
      </c>
      <c r="E363" s="32">
        <v>46187</v>
      </c>
      <c r="F363" s="28">
        <f>SUMIF(Transactions!$C$18:$C$46,'Percentage Calc'!$E363,Transactions!D$18:D$46)</f>
        <v>0</v>
      </c>
      <c r="G363" s="28">
        <f>SUMIF(Transactions!$C$18:$C$46,'Percentage Calc'!$E363,Transactions!E$18:E$46)</f>
        <v>0</v>
      </c>
      <c r="H363" s="28">
        <f>SUMIF(Transactions!$C$18:$C$46,'Percentage Calc'!$E363,Transactions!F$18:F$46)</f>
        <v>0</v>
      </c>
      <c r="I363" s="28">
        <f>SUMIF(Transactions!$C$18:$C$46,'Percentage Calc'!$E363,Transactions!G$18:G$46)</f>
        <v>0</v>
      </c>
      <c r="J363" s="28">
        <f t="shared" si="31"/>
        <v>0</v>
      </c>
      <c r="K363" s="28">
        <f t="shared" si="32"/>
        <v>0</v>
      </c>
      <c r="L363" s="32"/>
      <c r="M363" s="28">
        <f>SUMIF(Transactions!$K$19:$K$46,'Percentage Calc'!$E363,Transactions!L$19:L$46)</f>
        <v>0</v>
      </c>
      <c r="N363" s="28">
        <f>SUMIF(Transactions!$K$19:$K$46,'Percentage Calc'!$E363,Transactions!M$19:M$46)</f>
        <v>0</v>
      </c>
      <c r="O363" s="28">
        <f>SUMIF(Transactions!$K$19:$K$46,'Percentage Calc'!$E363,Transactions!N$19:N$46)</f>
        <v>0</v>
      </c>
      <c r="P363" s="28">
        <f>SUMIF(Transactions!$K$19:$K$46,'Percentage Calc'!$E363,Transactions!O$19:O$46)</f>
        <v>0</v>
      </c>
      <c r="Q363" s="28">
        <f>SUMIF(Transactions!$K$19:$K$46,'Percentage Calc'!$E363,Transactions!P$19:P$46)</f>
        <v>0</v>
      </c>
      <c r="R363" s="28">
        <f t="shared" si="33"/>
        <v>0</v>
      </c>
      <c r="S363" s="28">
        <f t="shared" si="34"/>
        <v>0</v>
      </c>
    </row>
    <row r="364" spans="1:19" x14ac:dyDescent="0.35">
      <c r="A364" s="9"/>
      <c r="B364" s="32"/>
      <c r="C364" s="28">
        <f>IF(Check!$B$87=1,1,IF(R364&lt;1,0,1))</f>
        <v>1</v>
      </c>
      <c r="D364" s="28">
        <f t="shared" si="30"/>
        <v>1</v>
      </c>
      <c r="E364" s="32">
        <v>46188</v>
      </c>
      <c r="F364" s="28">
        <f>SUMIF(Transactions!$C$18:$C$46,'Percentage Calc'!$E364,Transactions!D$18:D$46)</f>
        <v>0</v>
      </c>
      <c r="G364" s="28">
        <f>SUMIF(Transactions!$C$18:$C$46,'Percentage Calc'!$E364,Transactions!E$18:E$46)</f>
        <v>0</v>
      </c>
      <c r="H364" s="28">
        <f>SUMIF(Transactions!$C$18:$C$46,'Percentage Calc'!$E364,Transactions!F$18:F$46)</f>
        <v>0</v>
      </c>
      <c r="I364" s="28">
        <f>SUMIF(Transactions!$C$18:$C$46,'Percentage Calc'!$E364,Transactions!G$18:G$46)</f>
        <v>0</v>
      </c>
      <c r="J364" s="28">
        <f t="shared" si="31"/>
        <v>0</v>
      </c>
      <c r="K364" s="28">
        <f t="shared" si="32"/>
        <v>0</v>
      </c>
      <c r="L364" s="32"/>
      <c r="M364" s="28">
        <f>SUMIF(Transactions!$K$19:$K$46,'Percentage Calc'!$E364,Transactions!L$19:L$46)</f>
        <v>0</v>
      </c>
      <c r="N364" s="28">
        <f>SUMIF(Transactions!$K$19:$K$46,'Percentage Calc'!$E364,Transactions!M$19:M$46)</f>
        <v>0</v>
      </c>
      <c r="O364" s="28">
        <f>SUMIF(Transactions!$K$19:$K$46,'Percentage Calc'!$E364,Transactions!N$19:N$46)</f>
        <v>0</v>
      </c>
      <c r="P364" s="28">
        <f>SUMIF(Transactions!$K$19:$K$46,'Percentage Calc'!$E364,Transactions!O$19:O$46)</f>
        <v>0</v>
      </c>
      <c r="Q364" s="28">
        <f>SUMIF(Transactions!$K$19:$K$46,'Percentage Calc'!$E364,Transactions!P$19:P$46)</f>
        <v>0</v>
      </c>
      <c r="R364" s="28">
        <f t="shared" si="33"/>
        <v>0</v>
      </c>
      <c r="S364" s="28">
        <f t="shared" si="34"/>
        <v>0</v>
      </c>
    </row>
    <row r="365" spans="1:19" x14ac:dyDescent="0.35">
      <c r="A365" s="9"/>
      <c r="B365" s="32"/>
      <c r="C365" s="28">
        <f>IF(Check!$B$87=1,1,IF(R365&lt;1,0,1))</f>
        <v>1</v>
      </c>
      <c r="D365" s="28">
        <f t="shared" si="30"/>
        <v>1</v>
      </c>
      <c r="E365" s="32">
        <v>46189</v>
      </c>
      <c r="F365" s="28">
        <f>SUMIF(Transactions!$C$18:$C$46,'Percentage Calc'!$E365,Transactions!D$18:D$46)</f>
        <v>0</v>
      </c>
      <c r="G365" s="28">
        <f>SUMIF(Transactions!$C$18:$C$46,'Percentage Calc'!$E365,Transactions!E$18:E$46)</f>
        <v>0</v>
      </c>
      <c r="H365" s="28">
        <f>SUMIF(Transactions!$C$18:$C$46,'Percentage Calc'!$E365,Transactions!F$18:F$46)</f>
        <v>0</v>
      </c>
      <c r="I365" s="28">
        <f>SUMIF(Transactions!$C$18:$C$46,'Percentage Calc'!$E365,Transactions!G$18:G$46)</f>
        <v>0</v>
      </c>
      <c r="J365" s="28">
        <f t="shared" si="31"/>
        <v>0</v>
      </c>
      <c r="K365" s="28">
        <f t="shared" si="32"/>
        <v>0</v>
      </c>
      <c r="L365" s="32"/>
      <c r="M365" s="28">
        <f>SUMIF(Transactions!$K$19:$K$46,'Percentage Calc'!$E365,Transactions!L$19:L$46)</f>
        <v>0</v>
      </c>
      <c r="N365" s="28">
        <f>SUMIF(Transactions!$K$19:$K$46,'Percentage Calc'!$E365,Transactions!M$19:M$46)</f>
        <v>0</v>
      </c>
      <c r="O365" s="28">
        <f>SUMIF(Transactions!$K$19:$K$46,'Percentage Calc'!$E365,Transactions!N$19:N$46)</f>
        <v>0</v>
      </c>
      <c r="P365" s="28">
        <f>SUMIF(Transactions!$K$19:$K$46,'Percentage Calc'!$E365,Transactions!O$19:O$46)</f>
        <v>0</v>
      </c>
      <c r="Q365" s="28">
        <f>SUMIF(Transactions!$K$19:$K$46,'Percentage Calc'!$E365,Transactions!P$19:P$46)</f>
        <v>0</v>
      </c>
      <c r="R365" s="28">
        <f t="shared" si="33"/>
        <v>0</v>
      </c>
      <c r="S365" s="28">
        <f t="shared" si="34"/>
        <v>0</v>
      </c>
    </row>
    <row r="366" spans="1:19" x14ac:dyDescent="0.35">
      <c r="A366" s="9"/>
      <c r="B366" s="32"/>
      <c r="C366" s="28">
        <f>IF(Check!$B$87=1,1,IF(R366&lt;1,0,1))</f>
        <v>1</v>
      </c>
      <c r="D366" s="28">
        <f t="shared" si="30"/>
        <v>1</v>
      </c>
      <c r="E366" s="32">
        <v>46190</v>
      </c>
      <c r="F366" s="28">
        <f>SUMIF(Transactions!$C$18:$C$46,'Percentage Calc'!$E366,Transactions!D$18:D$46)</f>
        <v>0</v>
      </c>
      <c r="G366" s="28">
        <f>SUMIF(Transactions!$C$18:$C$46,'Percentage Calc'!$E366,Transactions!E$18:E$46)</f>
        <v>0</v>
      </c>
      <c r="H366" s="28">
        <f>SUMIF(Transactions!$C$18:$C$46,'Percentage Calc'!$E366,Transactions!F$18:F$46)</f>
        <v>0</v>
      </c>
      <c r="I366" s="28">
        <f>SUMIF(Transactions!$C$18:$C$46,'Percentage Calc'!$E366,Transactions!G$18:G$46)</f>
        <v>0</v>
      </c>
      <c r="J366" s="28">
        <f t="shared" si="31"/>
        <v>0</v>
      </c>
      <c r="K366" s="28">
        <f t="shared" si="32"/>
        <v>0</v>
      </c>
      <c r="L366" s="32"/>
      <c r="M366" s="28">
        <f>SUMIF(Transactions!$K$19:$K$46,'Percentage Calc'!$E366,Transactions!L$19:L$46)</f>
        <v>0</v>
      </c>
      <c r="N366" s="28">
        <f>SUMIF(Transactions!$K$19:$K$46,'Percentage Calc'!$E366,Transactions!M$19:M$46)</f>
        <v>0</v>
      </c>
      <c r="O366" s="28">
        <f>SUMIF(Transactions!$K$19:$K$46,'Percentage Calc'!$E366,Transactions!N$19:N$46)</f>
        <v>0</v>
      </c>
      <c r="P366" s="28">
        <f>SUMIF(Transactions!$K$19:$K$46,'Percentage Calc'!$E366,Transactions!O$19:O$46)</f>
        <v>0</v>
      </c>
      <c r="Q366" s="28">
        <f>SUMIF(Transactions!$K$19:$K$46,'Percentage Calc'!$E366,Transactions!P$19:P$46)</f>
        <v>0</v>
      </c>
      <c r="R366" s="28">
        <f t="shared" si="33"/>
        <v>0</v>
      </c>
      <c r="S366" s="28">
        <f t="shared" si="34"/>
        <v>0</v>
      </c>
    </row>
    <row r="367" spans="1:19" x14ac:dyDescent="0.35">
      <c r="A367" s="9"/>
      <c r="B367" s="32"/>
      <c r="C367" s="28">
        <f>IF(Check!$B$87=1,1,IF(R367&lt;1,0,1))</f>
        <v>1</v>
      </c>
      <c r="D367" s="28">
        <f t="shared" si="30"/>
        <v>1</v>
      </c>
      <c r="E367" s="32">
        <v>46191</v>
      </c>
      <c r="F367" s="28">
        <f>SUMIF(Transactions!$C$18:$C$46,'Percentage Calc'!$E367,Transactions!D$18:D$46)</f>
        <v>0</v>
      </c>
      <c r="G367" s="28">
        <f>SUMIF(Transactions!$C$18:$C$46,'Percentage Calc'!$E367,Transactions!E$18:E$46)</f>
        <v>0</v>
      </c>
      <c r="H367" s="28">
        <f>SUMIF(Transactions!$C$18:$C$46,'Percentage Calc'!$E367,Transactions!F$18:F$46)</f>
        <v>0</v>
      </c>
      <c r="I367" s="28">
        <f>SUMIF(Transactions!$C$18:$C$46,'Percentage Calc'!$E367,Transactions!G$18:G$46)</f>
        <v>0</v>
      </c>
      <c r="J367" s="28">
        <f t="shared" si="31"/>
        <v>0</v>
      </c>
      <c r="K367" s="28">
        <f t="shared" si="32"/>
        <v>0</v>
      </c>
      <c r="L367" s="32"/>
      <c r="M367" s="28">
        <f>SUMIF(Transactions!$K$19:$K$46,'Percentage Calc'!$E367,Transactions!L$19:L$46)</f>
        <v>0</v>
      </c>
      <c r="N367" s="28">
        <f>SUMIF(Transactions!$K$19:$K$46,'Percentage Calc'!$E367,Transactions!M$19:M$46)</f>
        <v>0</v>
      </c>
      <c r="O367" s="28">
        <f>SUMIF(Transactions!$K$19:$K$46,'Percentage Calc'!$E367,Transactions!N$19:N$46)</f>
        <v>0</v>
      </c>
      <c r="P367" s="28">
        <f>SUMIF(Transactions!$K$19:$K$46,'Percentage Calc'!$E367,Transactions!O$19:O$46)</f>
        <v>0</v>
      </c>
      <c r="Q367" s="28">
        <f>SUMIF(Transactions!$K$19:$K$46,'Percentage Calc'!$E367,Transactions!P$19:P$46)</f>
        <v>0</v>
      </c>
      <c r="R367" s="28">
        <f t="shared" si="33"/>
        <v>0</v>
      </c>
      <c r="S367" s="28">
        <f t="shared" si="34"/>
        <v>0</v>
      </c>
    </row>
    <row r="368" spans="1:19" x14ac:dyDescent="0.35">
      <c r="A368" s="9"/>
      <c r="B368" s="32"/>
      <c r="C368" s="28">
        <f>IF(Check!$B$87=1,1,IF(R368&lt;1,0,1))</f>
        <v>1</v>
      </c>
      <c r="D368" s="28">
        <f t="shared" si="30"/>
        <v>1</v>
      </c>
      <c r="E368" s="32">
        <v>46192</v>
      </c>
      <c r="F368" s="28">
        <f>SUMIF(Transactions!$C$18:$C$46,'Percentage Calc'!$E368,Transactions!D$18:D$46)</f>
        <v>0</v>
      </c>
      <c r="G368" s="28">
        <f>SUMIF(Transactions!$C$18:$C$46,'Percentage Calc'!$E368,Transactions!E$18:E$46)</f>
        <v>0</v>
      </c>
      <c r="H368" s="28">
        <f>SUMIF(Transactions!$C$18:$C$46,'Percentage Calc'!$E368,Transactions!F$18:F$46)</f>
        <v>0</v>
      </c>
      <c r="I368" s="28">
        <f>SUMIF(Transactions!$C$18:$C$46,'Percentage Calc'!$E368,Transactions!G$18:G$46)</f>
        <v>0</v>
      </c>
      <c r="J368" s="28">
        <f t="shared" si="31"/>
        <v>0</v>
      </c>
      <c r="K368" s="28">
        <f t="shared" si="32"/>
        <v>0</v>
      </c>
      <c r="L368" s="32"/>
      <c r="M368" s="28">
        <f>SUMIF(Transactions!$K$19:$K$46,'Percentage Calc'!$E368,Transactions!L$19:L$46)</f>
        <v>0</v>
      </c>
      <c r="N368" s="28">
        <f>SUMIF(Transactions!$K$19:$K$46,'Percentage Calc'!$E368,Transactions!M$19:M$46)</f>
        <v>0</v>
      </c>
      <c r="O368" s="28">
        <f>SUMIF(Transactions!$K$19:$K$46,'Percentage Calc'!$E368,Transactions!N$19:N$46)</f>
        <v>0</v>
      </c>
      <c r="P368" s="28">
        <f>SUMIF(Transactions!$K$19:$K$46,'Percentage Calc'!$E368,Transactions!O$19:O$46)</f>
        <v>0</v>
      </c>
      <c r="Q368" s="28">
        <f>SUMIF(Transactions!$K$19:$K$46,'Percentage Calc'!$E368,Transactions!P$19:P$46)</f>
        <v>0</v>
      </c>
      <c r="R368" s="28">
        <f t="shared" si="33"/>
        <v>0</v>
      </c>
      <c r="S368" s="28">
        <f t="shared" si="34"/>
        <v>0</v>
      </c>
    </row>
    <row r="369" spans="1:19" x14ac:dyDescent="0.35">
      <c r="A369" s="9"/>
      <c r="B369" s="32"/>
      <c r="C369" s="28">
        <f>IF(Check!$B$87=1,1,IF(R369&lt;1,0,1))</f>
        <v>1</v>
      </c>
      <c r="D369" s="28">
        <f t="shared" si="30"/>
        <v>1</v>
      </c>
      <c r="E369" s="32">
        <v>46193</v>
      </c>
      <c r="F369" s="28">
        <f>SUMIF(Transactions!$C$18:$C$46,'Percentage Calc'!$E369,Transactions!D$18:D$46)</f>
        <v>0</v>
      </c>
      <c r="G369" s="28">
        <f>SUMIF(Transactions!$C$18:$C$46,'Percentage Calc'!$E369,Transactions!E$18:E$46)</f>
        <v>0</v>
      </c>
      <c r="H369" s="28">
        <f>SUMIF(Transactions!$C$18:$C$46,'Percentage Calc'!$E369,Transactions!F$18:F$46)</f>
        <v>0</v>
      </c>
      <c r="I369" s="28">
        <f>SUMIF(Transactions!$C$18:$C$46,'Percentage Calc'!$E369,Transactions!G$18:G$46)</f>
        <v>0</v>
      </c>
      <c r="J369" s="28">
        <f t="shared" si="31"/>
        <v>0</v>
      </c>
      <c r="K369" s="28">
        <f t="shared" si="32"/>
        <v>0</v>
      </c>
      <c r="L369" s="32"/>
      <c r="M369" s="28">
        <f>SUMIF(Transactions!$K$19:$K$46,'Percentage Calc'!$E369,Transactions!L$19:L$46)</f>
        <v>0</v>
      </c>
      <c r="N369" s="28">
        <f>SUMIF(Transactions!$K$19:$K$46,'Percentage Calc'!$E369,Transactions!M$19:M$46)</f>
        <v>0</v>
      </c>
      <c r="O369" s="28">
        <f>SUMIF(Transactions!$K$19:$K$46,'Percentage Calc'!$E369,Transactions!N$19:N$46)</f>
        <v>0</v>
      </c>
      <c r="P369" s="28">
        <f>SUMIF(Transactions!$K$19:$K$46,'Percentage Calc'!$E369,Transactions!O$19:O$46)</f>
        <v>0</v>
      </c>
      <c r="Q369" s="28">
        <f>SUMIF(Transactions!$K$19:$K$46,'Percentage Calc'!$E369,Transactions!P$19:P$46)</f>
        <v>0</v>
      </c>
      <c r="R369" s="28">
        <f t="shared" si="33"/>
        <v>0</v>
      </c>
      <c r="S369" s="28">
        <f t="shared" si="34"/>
        <v>0</v>
      </c>
    </row>
    <row r="370" spans="1:19" x14ac:dyDescent="0.35">
      <c r="A370" s="9"/>
      <c r="B370" s="32"/>
      <c r="C370" s="28">
        <f>IF(Check!$B$87=1,1,IF(R370&lt;1,0,1))</f>
        <v>1</v>
      </c>
      <c r="D370" s="28">
        <f t="shared" si="30"/>
        <v>1</v>
      </c>
      <c r="E370" s="32">
        <v>46194</v>
      </c>
      <c r="F370" s="28">
        <f>SUMIF(Transactions!$C$18:$C$46,'Percentage Calc'!$E370,Transactions!D$18:D$46)</f>
        <v>0</v>
      </c>
      <c r="G370" s="28">
        <f>SUMIF(Transactions!$C$18:$C$46,'Percentage Calc'!$E370,Transactions!E$18:E$46)</f>
        <v>0</v>
      </c>
      <c r="H370" s="28">
        <f>SUMIF(Transactions!$C$18:$C$46,'Percentage Calc'!$E370,Transactions!F$18:F$46)</f>
        <v>0</v>
      </c>
      <c r="I370" s="28">
        <f>SUMIF(Transactions!$C$18:$C$46,'Percentage Calc'!$E370,Transactions!G$18:G$46)</f>
        <v>0</v>
      </c>
      <c r="J370" s="28">
        <f t="shared" si="31"/>
        <v>0</v>
      </c>
      <c r="K370" s="28">
        <f t="shared" si="32"/>
        <v>0</v>
      </c>
      <c r="L370" s="32"/>
      <c r="M370" s="28">
        <f>SUMIF(Transactions!$K$19:$K$46,'Percentage Calc'!$E370,Transactions!L$19:L$46)</f>
        <v>0</v>
      </c>
      <c r="N370" s="28">
        <f>SUMIF(Transactions!$K$19:$K$46,'Percentage Calc'!$E370,Transactions!M$19:M$46)</f>
        <v>0</v>
      </c>
      <c r="O370" s="28">
        <f>SUMIF(Transactions!$K$19:$K$46,'Percentage Calc'!$E370,Transactions!N$19:N$46)</f>
        <v>0</v>
      </c>
      <c r="P370" s="28">
        <f>SUMIF(Transactions!$K$19:$K$46,'Percentage Calc'!$E370,Transactions!O$19:O$46)</f>
        <v>0</v>
      </c>
      <c r="Q370" s="28">
        <f>SUMIF(Transactions!$K$19:$K$46,'Percentage Calc'!$E370,Transactions!P$19:P$46)</f>
        <v>0</v>
      </c>
      <c r="R370" s="28">
        <f t="shared" si="33"/>
        <v>0</v>
      </c>
      <c r="S370" s="28">
        <f t="shared" si="34"/>
        <v>0</v>
      </c>
    </row>
    <row r="371" spans="1:19" x14ac:dyDescent="0.35">
      <c r="A371" s="9"/>
      <c r="B371" s="32"/>
      <c r="C371" s="28">
        <f>IF(Check!$B$87=1,1,IF(R371&lt;1,0,1))</f>
        <v>1</v>
      </c>
      <c r="D371" s="28">
        <f t="shared" si="30"/>
        <v>1</v>
      </c>
      <c r="E371" s="32">
        <v>46195</v>
      </c>
      <c r="F371" s="28">
        <f>SUMIF(Transactions!$C$18:$C$46,'Percentage Calc'!$E371,Transactions!D$18:D$46)</f>
        <v>0</v>
      </c>
      <c r="G371" s="28">
        <f>SUMIF(Transactions!$C$18:$C$46,'Percentage Calc'!$E371,Transactions!E$18:E$46)</f>
        <v>0</v>
      </c>
      <c r="H371" s="28">
        <f>SUMIF(Transactions!$C$18:$C$46,'Percentage Calc'!$E371,Transactions!F$18:F$46)</f>
        <v>0</v>
      </c>
      <c r="I371" s="28">
        <f>SUMIF(Transactions!$C$18:$C$46,'Percentage Calc'!$E371,Transactions!G$18:G$46)</f>
        <v>0</v>
      </c>
      <c r="J371" s="28">
        <f t="shared" si="31"/>
        <v>0</v>
      </c>
      <c r="K371" s="28">
        <f t="shared" si="32"/>
        <v>0</v>
      </c>
      <c r="L371" s="32"/>
      <c r="M371" s="28">
        <f>SUMIF(Transactions!$K$19:$K$46,'Percentage Calc'!$E371,Transactions!L$19:L$46)</f>
        <v>0</v>
      </c>
      <c r="N371" s="28">
        <f>SUMIF(Transactions!$K$19:$K$46,'Percentage Calc'!$E371,Transactions!M$19:M$46)</f>
        <v>0</v>
      </c>
      <c r="O371" s="28">
        <f>SUMIF(Transactions!$K$19:$K$46,'Percentage Calc'!$E371,Transactions!N$19:N$46)</f>
        <v>0</v>
      </c>
      <c r="P371" s="28">
        <f>SUMIF(Transactions!$K$19:$K$46,'Percentage Calc'!$E371,Transactions!O$19:O$46)</f>
        <v>0</v>
      </c>
      <c r="Q371" s="28">
        <f>SUMIF(Transactions!$K$19:$K$46,'Percentage Calc'!$E371,Transactions!P$19:P$46)</f>
        <v>0</v>
      </c>
      <c r="R371" s="28">
        <f t="shared" si="33"/>
        <v>0</v>
      </c>
      <c r="S371" s="28">
        <f t="shared" si="34"/>
        <v>0</v>
      </c>
    </row>
    <row r="372" spans="1:19" x14ac:dyDescent="0.35">
      <c r="A372" s="9"/>
      <c r="B372" s="32"/>
      <c r="C372" s="28">
        <f>IF(Check!$B$87=1,1,IF(R372&lt;1,0,1))</f>
        <v>1</v>
      </c>
      <c r="D372" s="28">
        <f t="shared" si="30"/>
        <v>1</v>
      </c>
      <c r="E372" s="32">
        <v>46196</v>
      </c>
      <c r="F372" s="28">
        <f>SUMIF(Transactions!$C$18:$C$46,'Percentage Calc'!$E372,Transactions!D$18:D$46)</f>
        <v>0</v>
      </c>
      <c r="G372" s="28">
        <f>SUMIF(Transactions!$C$18:$C$46,'Percentage Calc'!$E372,Transactions!E$18:E$46)</f>
        <v>0</v>
      </c>
      <c r="H372" s="28">
        <f>SUMIF(Transactions!$C$18:$C$46,'Percentage Calc'!$E372,Transactions!F$18:F$46)</f>
        <v>0</v>
      </c>
      <c r="I372" s="28">
        <f>SUMIF(Transactions!$C$18:$C$46,'Percentage Calc'!$E372,Transactions!G$18:G$46)</f>
        <v>0</v>
      </c>
      <c r="J372" s="28">
        <f t="shared" si="31"/>
        <v>0</v>
      </c>
      <c r="K372" s="28">
        <f t="shared" si="32"/>
        <v>0</v>
      </c>
      <c r="L372" s="32"/>
      <c r="M372" s="28">
        <f>SUMIF(Transactions!$K$19:$K$46,'Percentage Calc'!$E372,Transactions!L$19:L$46)</f>
        <v>0</v>
      </c>
      <c r="N372" s="28">
        <f>SUMIF(Transactions!$K$19:$K$46,'Percentage Calc'!$E372,Transactions!M$19:M$46)</f>
        <v>0</v>
      </c>
      <c r="O372" s="28">
        <f>SUMIF(Transactions!$K$19:$K$46,'Percentage Calc'!$E372,Transactions!N$19:N$46)</f>
        <v>0</v>
      </c>
      <c r="P372" s="28">
        <f>SUMIF(Transactions!$K$19:$K$46,'Percentage Calc'!$E372,Transactions!O$19:O$46)</f>
        <v>0</v>
      </c>
      <c r="Q372" s="28">
        <f>SUMIF(Transactions!$K$19:$K$46,'Percentage Calc'!$E372,Transactions!P$19:P$46)</f>
        <v>0</v>
      </c>
      <c r="R372" s="28">
        <f t="shared" si="33"/>
        <v>0</v>
      </c>
      <c r="S372" s="28">
        <f t="shared" si="34"/>
        <v>0</v>
      </c>
    </row>
    <row r="373" spans="1:19" x14ac:dyDescent="0.35">
      <c r="A373" s="9"/>
      <c r="B373" s="32"/>
      <c r="C373" s="28">
        <f>IF(Check!$B$87=1,1,IF(R373&lt;1,0,1))</f>
        <v>1</v>
      </c>
      <c r="D373" s="28">
        <f t="shared" si="30"/>
        <v>1</v>
      </c>
      <c r="E373" s="32">
        <v>46197</v>
      </c>
      <c r="F373" s="28">
        <f>SUMIF(Transactions!$C$18:$C$46,'Percentage Calc'!$E373,Transactions!D$18:D$46)</f>
        <v>0</v>
      </c>
      <c r="G373" s="28">
        <f>SUMIF(Transactions!$C$18:$C$46,'Percentage Calc'!$E373,Transactions!E$18:E$46)</f>
        <v>0</v>
      </c>
      <c r="H373" s="28">
        <f>SUMIF(Transactions!$C$18:$C$46,'Percentage Calc'!$E373,Transactions!F$18:F$46)</f>
        <v>0</v>
      </c>
      <c r="I373" s="28">
        <f>SUMIF(Transactions!$C$18:$C$46,'Percentage Calc'!$E373,Transactions!G$18:G$46)</f>
        <v>0</v>
      </c>
      <c r="J373" s="28">
        <f t="shared" si="31"/>
        <v>0</v>
      </c>
      <c r="K373" s="28">
        <f t="shared" si="32"/>
        <v>0</v>
      </c>
      <c r="L373" s="32"/>
      <c r="M373" s="28">
        <f>SUMIF(Transactions!$K$19:$K$46,'Percentage Calc'!$E373,Transactions!L$19:L$46)</f>
        <v>0</v>
      </c>
      <c r="N373" s="28">
        <f>SUMIF(Transactions!$K$19:$K$46,'Percentage Calc'!$E373,Transactions!M$19:M$46)</f>
        <v>0</v>
      </c>
      <c r="O373" s="28">
        <f>SUMIF(Transactions!$K$19:$K$46,'Percentage Calc'!$E373,Transactions!N$19:N$46)</f>
        <v>0</v>
      </c>
      <c r="P373" s="28">
        <f>SUMIF(Transactions!$K$19:$K$46,'Percentage Calc'!$E373,Transactions!O$19:O$46)</f>
        <v>0</v>
      </c>
      <c r="Q373" s="28">
        <f>SUMIF(Transactions!$K$19:$K$46,'Percentage Calc'!$E373,Transactions!P$19:P$46)</f>
        <v>0</v>
      </c>
      <c r="R373" s="28">
        <f t="shared" si="33"/>
        <v>0</v>
      </c>
      <c r="S373" s="28">
        <f t="shared" si="34"/>
        <v>0</v>
      </c>
    </row>
    <row r="374" spans="1:19" x14ac:dyDescent="0.35">
      <c r="A374" s="9"/>
      <c r="B374" s="32"/>
      <c r="C374" s="28">
        <f>IF(Check!$B$87=1,1,IF(R374&lt;1,0,1))</f>
        <v>1</v>
      </c>
      <c r="D374" s="28">
        <f t="shared" si="30"/>
        <v>1</v>
      </c>
      <c r="E374" s="32">
        <v>46198</v>
      </c>
      <c r="F374" s="28">
        <f>SUMIF(Transactions!$C$18:$C$46,'Percentage Calc'!$E374,Transactions!D$18:D$46)</f>
        <v>0</v>
      </c>
      <c r="G374" s="28">
        <f>SUMIF(Transactions!$C$18:$C$46,'Percentage Calc'!$E374,Transactions!E$18:E$46)</f>
        <v>0</v>
      </c>
      <c r="H374" s="28">
        <f>SUMIF(Transactions!$C$18:$C$46,'Percentage Calc'!$E374,Transactions!F$18:F$46)</f>
        <v>0</v>
      </c>
      <c r="I374" s="28">
        <f>SUMIF(Transactions!$C$18:$C$46,'Percentage Calc'!$E374,Transactions!G$18:G$46)</f>
        <v>0</v>
      </c>
      <c r="J374" s="28">
        <f t="shared" si="31"/>
        <v>0</v>
      </c>
      <c r="K374" s="28">
        <f t="shared" si="32"/>
        <v>0</v>
      </c>
      <c r="L374" s="32"/>
      <c r="M374" s="28">
        <f>SUMIF(Transactions!$K$19:$K$46,'Percentage Calc'!$E374,Transactions!L$19:L$46)</f>
        <v>0</v>
      </c>
      <c r="N374" s="28">
        <f>SUMIF(Transactions!$K$19:$K$46,'Percentage Calc'!$E374,Transactions!M$19:M$46)</f>
        <v>0</v>
      </c>
      <c r="O374" s="28">
        <f>SUMIF(Transactions!$K$19:$K$46,'Percentage Calc'!$E374,Transactions!N$19:N$46)</f>
        <v>0</v>
      </c>
      <c r="P374" s="28">
        <f>SUMIF(Transactions!$K$19:$K$46,'Percentage Calc'!$E374,Transactions!O$19:O$46)</f>
        <v>0</v>
      </c>
      <c r="Q374" s="28">
        <f>SUMIF(Transactions!$K$19:$K$46,'Percentage Calc'!$E374,Transactions!P$19:P$46)</f>
        <v>0</v>
      </c>
      <c r="R374" s="28">
        <f t="shared" si="33"/>
        <v>0</v>
      </c>
      <c r="S374" s="28">
        <f t="shared" si="34"/>
        <v>0</v>
      </c>
    </row>
    <row r="375" spans="1:19" x14ac:dyDescent="0.35">
      <c r="A375" s="9"/>
      <c r="B375" s="32"/>
      <c r="C375" s="28">
        <f>IF(Check!$B$87=1,1,IF(R375&lt;1,0,1))</f>
        <v>1</v>
      </c>
      <c r="D375" s="28">
        <f t="shared" si="30"/>
        <v>1</v>
      </c>
      <c r="E375" s="32">
        <v>46199</v>
      </c>
      <c r="F375" s="28">
        <f>SUMIF(Transactions!$C$18:$C$46,'Percentage Calc'!$E375,Transactions!D$18:D$46)</f>
        <v>0</v>
      </c>
      <c r="G375" s="28">
        <f>SUMIF(Transactions!$C$18:$C$46,'Percentage Calc'!$E375,Transactions!E$18:E$46)</f>
        <v>0</v>
      </c>
      <c r="H375" s="28">
        <f>SUMIF(Transactions!$C$18:$C$46,'Percentage Calc'!$E375,Transactions!F$18:F$46)</f>
        <v>0</v>
      </c>
      <c r="I375" s="28">
        <f>SUMIF(Transactions!$C$18:$C$46,'Percentage Calc'!$E375,Transactions!G$18:G$46)</f>
        <v>0</v>
      </c>
      <c r="J375" s="28">
        <f t="shared" si="31"/>
        <v>0</v>
      </c>
      <c r="K375" s="28">
        <f t="shared" si="32"/>
        <v>0</v>
      </c>
      <c r="L375" s="32"/>
      <c r="M375" s="28">
        <f>SUMIF(Transactions!$K$19:$K$46,'Percentage Calc'!$E375,Transactions!L$19:L$46)</f>
        <v>0</v>
      </c>
      <c r="N375" s="28">
        <f>SUMIF(Transactions!$K$19:$K$46,'Percentage Calc'!$E375,Transactions!M$19:M$46)</f>
        <v>0</v>
      </c>
      <c r="O375" s="28">
        <f>SUMIF(Transactions!$K$19:$K$46,'Percentage Calc'!$E375,Transactions!N$19:N$46)</f>
        <v>0</v>
      </c>
      <c r="P375" s="28">
        <f>SUMIF(Transactions!$K$19:$K$46,'Percentage Calc'!$E375,Transactions!O$19:O$46)</f>
        <v>0</v>
      </c>
      <c r="Q375" s="28">
        <f>SUMIF(Transactions!$K$19:$K$46,'Percentage Calc'!$E375,Transactions!P$19:P$46)</f>
        <v>0</v>
      </c>
      <c r="R375" s="28">
        <f t="shared" si="33"/>
        <v>0</v>
      </c>
      <c r="S375" s="28">
        <f t="shared" si="34"/>
        <v>0</v>
      </c>
    </row>
    <row r="376" spans="1:19" x14ac:dyDescent="0.35">
      <c r="A376" s="9"/>
      <c r="B376" s="32"/>
      <c r="C376" s="28">
        <f>IF(Check!$B$87=1,1,IF(R376&lt;1,0,1))</f>
        <v>1</v>
      </c>
      <c r="D376" s="28">
        <f t="shared" si="30"/>
        <v>1</v>
      </c>
      <c r="E376" s="32">
        <v>46200</v>
      </c>
      <c r="F376" s="28">
        <f>SUMIF(Transactions!$C$18:$C$46,'Percentage Calc'!$E376,Transactions!D$18:D$46)</f>
        <v>0</v>
      </c>
      <c r="G376" s="28">
        <f>SUMIF(Transactions!$C$18:$C$46,'Percentage Calc'!$E376,Transactions!E$18:E$46)</f>
        <v>0</v>
      </c>
      <c r="H376" s="28">
        <f>SUMIF(Transactions!$C$18:$C$46,'Percentage Calc'!$E376,Transactions!F$18:F$46)</f>
        <v>0</v>
      </c>
      <c r="I376" s="28">
        <f>SUMIF(Transactions!$C$18:$C$46,'Percentage Calc'!$E376,Transactions!G$18:G$46)</f>
        <v>0</v>
      </c>
      <c r="J376" s="28">
        <f t="shared" si="31"/>
        <v>0</v>
      </c>
      <c r="K376" s="28">
        <f t="shared" si="32"/>
        <v>0</v>
      </c>
      <c r="L376" s="32"/>
      <c r="M376" s="28">
        <f>SUMIF(Transactions!$K$19:$K$46,'Percentage Calc'!$E376,Transactions!L$19:L$46)</f>
        <v>0</v>
      </c>
      <c r="N376" s="28">
        <f>SUMIF(Transactions!$K$19:$K$46,'Percentage Calc'!$E376,Transactions!M$19:M$46)</f>
        <v>0</v>
      </c>
      <c r="O376" s="28">
        <f>SUMIF(Transactions!$K$19:$K$46,'Percentage Calc'!$E376,Transactions!N$19:N$46)</f>
        <v>0</v>
      </c>
      <c r="P376" s="28">
        <f>SUMIF(Transactions!$K$19:$K$46,'Percentage Calc'!$E376,Transactions!O$19:O$46)</f>
        <v>0</v>
      </c>
      <c r="Q376" s="28">
        <f>SUMIF(Transactions!$K$19:$K$46,'Percentage Calc'!$E376,Transactions!P$19:P$46)</f>
        <v>0</v>
      </c>
      <c r="R376" s="28">
        <f t="shared" si="33"/>
        <v>0</v>
      </c>
      <c r="S376" s="28">
        <f t="shared" si="34"/>
        <v>0</v>
      </c>
    </row>
    <row r="377" spans="1:19" x14ac:dyDescent="0.35">
      <c r="A377" s="9"/>
      <c r="B377" s="32"/>
      <c r="C377" s="28">
        <f>IF(Check!$B$87=1,1,IF(R377&lt;1,0,1))</f>
        <v>1</v>
      </c>
      <c r="D377" s="28">
        <f t="shared" si="30"/>
        <v>1</v>
      </c>
      <c r="E377" s="32">
        <v>46201</v>
      </c>
      <c r="F377" s="28">
        <f>SUMIF(Transactions!$C$18:$C$46,'Percentage Calc'!$E377,Transactions!D$18:D$46)</f>
        <v>0</v>
      </c>
      <c r="G377" s="28">
        <f>SUMIF(Transactions!$C$18:$C$46,'Percentage Calc'!$E377,Transactions!E$18:E$46)</f>
        <v>0</v>
      </c>
      <c r="H377" s="28">
        <f>SUMIF(Transactions!$C$18:$C$46,'Percentage Calc'!$E377,Transactions!F$18:F$46)</f>
        <v>0</v>
      </c>
      <c r="I377" s="28">
        <f>SUMIF(Transactions!$C$18:$C$46,'Percentage Calc'!$E377,Transactions!G$18:G$46)</f>
        <v>0</v>
      </c>
      <c r="J377" s="28">
        <f t="shared" si="31"/>
        <v>0</v>
      </c>
      <c r="K377" s="28">
        <f t="shared" si="32"/>
        <v>0</v>
      </c>
      <c r="L377" s="32"/>
      <c r="M377" s="28">
        <f>SUMIF(Transactions!$K$19:$K$46,'Percentage Calc'!$E377,Transactions!L$19:L$46)</f>
        <v>0</v>
      </c>
      <c r="N377" s="28">
        <f>SUMIF(Transactions!$K$19:$K$46,'Percentage Calc'!$E377,Transactions!M$19:M$46)</f>
        <v>0</v>
      </c>
      <c r="O377" s="28">
        <f>SUMIF(Transactions!$K$19:$K$46,'Percentage Calc'!$E377,Transactions!N$19:N$46)</f>
        <v>0</v>
      </c>
      <c r="P377" s="28">
        <f>SUMIF(Transactions!$K$19:$K$46,'Percentage Calc'!$E377,Transactions!O$19:O$46)</f>
        <v>0</v>
      </c>
      <c r="Q377" s="28">
        <f>SUMIF(Transactions!$K$19:$K$46,'Percentage Calc'!$E377,Transactions!P$19:P$46)</f>
        <v>0</v>
      </c>
      <c r="R377" s="28">
        <f t="shared" si="33"/>
        <v>0</v>
      </c>
      <c r="S377" s="28">
        <f t="shared" si="34"/>
        <v>0</v>
      </c>
    </row>
    <row r="378" spans="1:19" x14ac:dyDescent="0.35">
      <c r="A378" s="9"/>
      <c r="B378" s="32"/>
      <c r="C378" s="28">
        <f>IF(Check!$B$87=1,1,IF(R378&lt;1,0,1))</f>
        <v>1</v>
      </c>
      <c r="D378" s="28">
        <f t="shared" si="30"/>
        <v>1</v>
      </c>
      <c r="E378" s="32">
        <v>46202</v>
      </c>
      <c r="F378" s="28">
        <f>SUMIF(Transactions!$C$18:$C$46,'Percentage Calc'!$E378,Transactions!D$18:D$46)</f>
        <v>0</v>
      </c>
      <c r="G378" s="28">
        <f>SUMIF(Transactions!$C$18:$C$46,'Percentage Calc'!$E378,Transactions!E$18:E$46)</f>
        <v>0</v>
      </c>
      <c r="H378" s="28">
        <f>SUMIF(Transactions!$C$18:$C$46,'Percentage Calc'!$E378,Transactions!F$18:F$46)</f>
        <v>0</v>
      </c>
      <c r="I378" s="28">
        <f>SUMIF(Transactions!$C$18:$C$46,'Percentage Calc'!$E378,Transactions!G$18:G$46)</f>
        <v>0</v>
      </c>
      <c r="J378" s="28">
        <f t="shared" si="31"/>
        <v>0</v>
      </c>
      <c r="K378" s="28">
        <f t="shared" si="32"/>
        <v>0</v>
      </c>
      <c r="L378" s="32"/>
      <c r="M378" s="28">
        <f>SUMIF(Transactions!$K$19:$K$46,'Percentage Calc'!$E378,Transactions!L$19:L$46)</f>
        <v>0</v>
      </c>
      <c r="N378" s="28">
        <f>SUMIF(Transactions!$K$19:$K$46,'Percentage Calc'!$E378,Transactions!M$19:M$46)</f>
        <v>0</v>
      </c>
      <c r="O378" s="28">
        <f>SUMIF(Transactions!$K$19:$K$46,'Percentage Calc'!$E378,Transactions!N$19:N$46)</f>
        <v>0</v>
      </c>
      <c r="P378" s="28">
        <f>SUMIF(Transactions!$K$19:$K$46,'Percentage Calc'!$E378,Transactions!O$19:O$46)</f>
        <v>0</v>
      </c>
      <c r="Q378" s="28">
        <f>SUMIF(Transactions!$K$19:$K$46,'Percentage Calc'!$E378,Transactions!P$19:P$46)</f>
        <v>0</v>
      </c>
      <c r="R378" s="28">
        <f t="shared" si="33"/>
        <v>0</v>
      </c>
      <c r="S378" s="28">
        <f t="shared" si="34"/>
        <v>0</v>
      </c>
    </row>
    <row r="379" spans="1:19" x14ac:dyDescent="0.35">
      <c r="A379" s="9"/>
      <c r="B379" s="32"/>
      <c r="C379" s="28">
        <f>IF(Check!$B$87=1,1,IF(R379&lt;1,0,1))</f>
        <v>1</v>
      </c>
      <c r="D379" s="28">
        <f t="shared" si="30"/>
        <v>1</v>
      </c>
      <c r="E379" s="32">
        <v>46203</v>
      </c>
      <c r="F379" s="28">
        <f>SUMIF(Transactions!$C$18:$C$46,'Percentage Calc'!$E379,Transactions!D$18:D$46)</f>
        <v>0</v>
      </c>
      <c r="G379" s="28">
        <f>SUMIF(Transactions!$C$18:$C$46,'Percentage Calc'!$E379,Transactions!E$18:E$46)</f>
        <v>0</v>
      </c>
      <c r="H379" s="28">
        <f>SUMIF(Transactions!$C$18:$C$46,'Percentage Calc'!$E379,Transactions!F$18:F$46)</f>
        <v>0</v>
      </c>
      <c r="I379" s="28">
        <f>SUMIF(Transactions!$C$18:$C$46,'Percentage Calc'!$E379,Transactions!G$18:G$46)</f>
        <v>0</v>
      </c>
      <c r="J379" s="28">
        <f t="shared" si="31"/>
        <v>0</v>
      </c>
      <c r="K379" s="28">
        <f t="shared" si="32"/>
        <v>0</v>
      </c>
      <c r="L379" s="32"/>
      <c r="M379" s="28">
        <f>SUMIF(Transactions!$K$19:$K$46,'Percentage Calc'!$E379,Transactions!L$19:L$46)</f>
        <v>0</v>
      </c>
      <c r="N379" s="28">
        <f>SUMIF(Transactions!$K$19:$K$46,'Percentage Calc'!$E379,Transactions!M$19:M$46)</f>
        <v>0</v>
      </c>
      <c r="O379" s="28">
        <f>SUMIF(Transactions!$K$19:$K$46,'Percentage Calc'!$E379,Transactions!N$19:N$46)</f>
        <v>0</v>
      </c>
      <c r="P379" s="28">
        <f>SUMIF(Transactions!$K$19:$K$46,'Percentage Calc'!$E379,Transactions!O$19:O$46)</f>
        <v>0</v>
      </c>
      <c r="Q379" s="28">
        <f>SUMIF(Transactions!$K$19:$K$46,'Percentage Calc'!$E379,Transactions!P$19:P$46)</f>
        <v>0</v>
      </c>
      <c r="R379" s="28">
        <f t="shared" si="33"/>
        <v>0</v>
      </c>
      <c r="S379" s="28">
        <f t="shared" si="34"/>
        <v>0</v>
      </c>
    </row>
    <row r="380" spans="1:19" x14ac:dyDescent="0.35">
      <c r="A380" s="9"/>
      <c r="B380" s="32"/>
      <c r="C380" s="32"/>
      <c r="D380" s="28">
        <f t="shared" si="30"/>
        <v>2</v>
      </c>
      <c r="E380" s="32">
        <v>46204</v>
      </c>
      <c r="F380" s="32"/>
      <c r="G380" s="32"/>
      <c r="H380" s="32"/>
      <c r="I380" s="32"/>
      <c r="J380" s="32"/>
      <c r="K380" s="32"/>
      <c r="L380" s="32"/>
      <c r="M380" s="32"/>
      <c r="N380" s="32"/>
      <c r="O380" s="32"/>
      <c r="P380" s="32"/>
      <c r="Q380" s="32"/>
      <c r="R380" s="32"/>
      <c r="S380" s="32"/>
    </row>
    <row r="381" spans="1:19" x14ac:dyDescent="0.35">
      <c r="A381" s="9"/>
      <c r="B381" s="32"/>
      <c r="C381" s="32"/>
      <c r="D381" s="32"/>
      <c r="E381" s="32"/>
      <c r="F381" s="32"/>
      <c r="G381" s="32"/>
      <c r="H381" s="32"/>
      <c r="I381" s="32"/>
      <c r="J381" s="32"/>
      <c r="K381" s="28">
        <f>SUM(K15:K379)</f>
        <v>0</v>
      </c>
      <c r="L381" s="32"/>
      <c r="M381" s="32"/>
      <c r="N381" s="32"/>
      <c r="O381" s="32"/>
      <c r="P381" s="32"/>
      <c r="Q381" s="32"/>
      <c r="R381" s="32"/>
      <c r="S381" s="28">
        <f>SUM(S15:S379)</f>
        <v>0</v>
      </c>
    </row>
    <row r="382" spans="1:19" x14ac:dyDescent="0.35">
      <c r="A382" s="9"/>
      <c r="B382" s="32"/>
      <c r="C382" s="32" t="s">
        <v>305</v>
      </c>
      <c r="D382" s="32"/>
      <c r="E382" s="32"/>
      <c r="F382" s="32"/>
      <c r="G382" s="32"/>
      <c r="H382" s="32"/>
      <c r="I382" s="32"/>
      <c r="J382" s="32"/>
      <c r="K382" s="28">
        <f t="array" ref="K382">ROUND(SUM($C$15:$C$379*$J$15:$J$379/$E$4),0)</f>
        <v>0</v>
      </c>
      <c r="L382" s="32"/>
      <c r="M382" s="32"/>
      <c r="N382" s="32"/>
      <c r="O382" s="32"/>
      <c r="P382" s="32"/>
      <c r="Q382" s="32"/>
      <c r="R382" s="32"/>
      <c r="S382" s="28">
        <f t="array" ref="S382">ROUND(SUM($C$15:$C$379*$R$15:$R$379/$E$4),0)</f>
        <v>0</v>
      </c>
    </row>
    <row r="383" spans="1:19" x14ac:dyDescent="0.35">
      <c r="A383" s="9"/>
      <c r="B383" s="32"/>
      <c r="C383" s="32"/>
      <c r="D383" s="32"/>
      <c r="E383" s="32"/>
      <c r="F383" s="32"/>
      <c r="G383" s="32"/>
      <c r="H383" s="32"/>
      <c r="I383" s="32"/>
      <c r="J383" s="28">
        <f>'Fund &amp; Member Details'!G54</f>
        <v>0</v>
      </c>
      <c r="K383" s="32"/>
      <c r="L383" s="32"/>
      <c r="M383" s="32"/>
      <c r="N383" s="32"/>
      <c r="O383" s="32"/>
      <c r="P383" s="32"/>
      <c r="Q383" s="32"/>
      <c r="R383" s="28">
        <f>'Fund &amp; Member Details'!G66</f>
        <v>0</v>
      </c>
      <c r="S383" s="32"/>
    </row>
    <row r="384" spans="1:19" x14ac:dyDescent="0.35">
      <c r="A384" s="9"/>
      <c r="B384" s="32" t="str">
        <f>IF(Transactions!$C46&gt;0,Transactions!$C46,"")</f>
        <v/>
      </c>
      <c r="C384" s="32"/>
      <c r="D384" s="32"/>
      <c r="E384" s="32"/>
      <c r="F384" s="32"/>
      <c r="G384" s="32" t="s">
        <v>306</v>
      </c>
      <c r="H384" s="32"/>
      <c r="I384" s="32" t="s">
        <v>314</v>
      </c>
      <c r="J384" s="146" t="b">
        <f>J383=J379</f>
        <v>1</v>
      </c>
      <c r="K384" s="32"/>
      <c r="L384" s="32"/>
      <c r="M384" s="32"/>
      <c r="N384" s="32"/>
      <c r="O384" s="32"/>
      <c r="P384" s="32"/>
      <c r="Q384" s="32"/>
      <c r="R384" s="146" t="b">
        <f>R383=R379</f>
        <v>1</v>
      </c>
      <c r="S384" s="32"/>
    </row>
    <row r="385" spans="1:19" x14ac:dyDescent="0.35">
      <c r="A385" s="9"/>
      <c r="B385" s="10"/>
      <c r="C385" s="10"/>
      <c r="D385" s="10"/>
      <c r="E385" s="10"/>
      <c r="F385" s="10"/>
      <c r="G385" s="10"/>
      <c r="H385" s="10"/>
      <c r="I385" s="10"/>
      <c r="J385" s="10">
        <f>J383-J379</f>
        <v>0</v>
      </c>
      <c r="K385" s="10"/>
      <c r="L385" s="10"/>
      <c r="M385" s="10"/>
      <c r="N385" s="10"/>
      <c r="O385" s="10"/>
      <c r="P385" s="10"/>
      <c r="Q385" s="10"/>
      <c r="R385" s="10">
        <f>R383-R379</f>
        <v>0</v>
      </c>
      <c r="S385" s="10"/>
    </row>
    <row r="386" spans="1:19" x14ac:dyDescent="0.35">
      <c r="A386" s="14"/>
      <c r="B386" s="15"/>
      <c r="C386" s="15"/>
      <c r="D386" s="15"/>
      <c r="E386" s="15"/>
      <c r="F386" s="15"/>
      <c r="G386" s="15"/>
      <c r="H386" s="15"/>
      <c r="I386" s="15"/>
      <c r="J386" s="15"/>
      <c r="K386" s="15"/>
      <c r="L386" s="15"/>
      <c r="M386" s="15"/>
      <c r="N386" s="15"/>
      <c r="O386" s="15"/>
      <c r="P386" s="15"/>
      <c r="Q386" s="15"/>
      <c r="R386" s="15"/>
      <c r="S386" s="15"/>
    </row>
    <row r="387" spans="1:19" x14ac:dyDescent="0.35">
      <c r="A387" s="16"/>
      <c r="B387" s="16"/>
      <c r="C387" s="16"/>
      <c r="D387" s="16"/>
      <c r="E387" s="16"/>
      <c r="F387" s="16"/>
      <c r="G387" s="16"/>
      <c r="H387" s="16"/>
      <c r="I387" s="16"/>
      <c r="J387" s="16"/>
      <c r="K387" s="16"/>
      <c r="L387" s="16"/>
      <c r="M387" s="16"/>
      <c r="N387" s="16"/>
      <c r="O387" s="16"/>
      <c r="P387" s="16"/>
      <c r="Q387" s="16"/>
      <c r="R387" s="16"/>
      <c r="S387" s="16"/>
    </row>
    <row r="388" spans="1:19" x14ac:dyDescent="0.35">
      <c r="A388" s="12"/>
      <c r="B388" s="10"/>
      <c r="C388" s="10"/>
      <c r="D388" s="10" t="s">
        <v>175</v>
      </c>
      <c r="E388" s="10"/>
      <c r="F388" s="10" t="s">
        <v>173</v>
      </c>
      <c r="G388" s="10" t="s">
        <v>52</v>
      </c>
      <c r="H388" s="10"/>
      <c r="I388" s="10"/>
      <c r="J388" s="10"/>
      <c r="K388" s="10"/>
      <c r="L388" s="10"/>
      <c r="M388" s="10"/>
      <c r="N388" s="10"/>
      <c r="O388" s="10"/>
      <c r="P388" s="10"/>
      <c r="Q388" s="10"/>
      <c r="R388" s="10"/>
      <c r="S388" s="10"/>
    </row>
    <row r="389" spans="1:19" ht="15" x14ac:dyDescent="0.4">
      <c r="A389" s="8" t="s">
        <v>29</v>
      </c>
      <c r="B389" s="17"/>
      <c r="C389" s="17"/>
      <c r="D389" s="18">
        <f>K382</f>
        <v>0</v>
      </c>
      <c r="E389" s="10"/>
      <c r="F389" s="10">
        <f>ROUND('Fund &amp; Member Details'!G54,0)</f>
        <v>0</v>
      </c>
      <c r="G389" s="10">
        <f>ROUND('Fund &amp; Member Details'!G49,)</f>
        <v>0</v>
      </c>
      <c r="H389" s="10"/>
      <c r="I389" s="10"/>
      <c r="J389" s="10" t="s">
        <v>34</v>
      </c>
      <c r="K389" s="10">
        <f>G389</f>
        <v>0</v>
      </c>
      <c r="L389" s="17"/>
      <c r="M389" s="17"/>
      <c r="N389" s="17"/>
      <c r="O389" s="17"/>
      <c r="P389" s="17"/>
      <c r="Q389" s="17"/>
      <c r="R389" s="17"/>
      <c r="S389" s="17"/>
    </row>
    <row r="390" spans="1:19" ht="15" x14ac:dyDescent="0.4">
      <c r="A390" s="8" t="s">
        <v>30</v>
      </c>
      <c r="B390" s="17"/>
      <c r="C390" s="17"/>
      <c r="D390" s="18">
        <f>S382</f>
        <v>0</v>
      </c>
      <c r="E390" s="10"/>
      <c r="F390" s="10">
        <f>ROUND('Fund &amp; Member Details'!G66,0)</f>
        <v>0</v>
      </c>
      <c r="G390" s="10">
        <f>ROUND('Fund &amp; Member Details'!G59+'Fund &amp; Member Details'!G60,0)</f>
        <v>0</v>
      </c>
      <c r="H390" s="10"/>
      <c r="I390" s="10"/>
      <c r="J390" s="10" t="s">
        <v>35</v>
      </c>
      <c r="K390" s="10">
        <f>D391</f>
        <v>0</v>
      </c>
      <c r="L390" s="17"/>
      <c r="M390" s="17"/>
      <c r="N390" s="17"/>
      <c r="O390" s="17"/>
      <c r="P390" s="17"/>
      <c r="Q390" s="17"/>
      <c r="R390" s="17"/>
      <c r="S390" s="17"/>
    </row>
    <row r="391" spans="1:19" ht="15" x14ac:dyDescent="0.4">
      <c r="A391" s="8" t="s">
        <v>31</v>
      </c>
      <c r="B391" s="19"/>
      <c r="C391" s="19"/>
      <c r="D391" s="18">
        <f>D389+D390</f>
        <v>0</v>
      </c>
      <c r="E391" s="10"/>
      <c r="F391" s="10">
        <f>F389+F390</f>
        <v>0</v>
      </c>
      <c r="G391" s="10">
        <f>G389+G390</f>
        <v>0</v>
      </c>
      <c r="H391" s="10"/>
      <c r="I391" s="10"/>
      <c r="J391" s="10"/>
      <c r="K391" s="10"/>
      <c r="L391" s="19"/>
      <c r="M391" s="19"/>
      <c r="N391" s="19"/>
      <c r="O391" s="19"/>
      <c r="P391" s="19"/>
      <c r="Q391" s="19"/>
      <c r="R391" s="19"/>
      <c r="S391" s="19"/>
    </row>
    <row r="392" spans="1:19" ht="15" x14ac:dyDescent="0.4">
      <c r="A392" s="8" t="s">
        <v>32</v>
      </c>
      <c r="B392" s="20"/>
      <c r="C392" s="20"/>
      <c r="D392" s="20">
        <f>IF(D391&gt;0,ROUND(100*D389/D391,1),0)</f>
        <v>0</v>
      </c>
      <c r="E392" s="8" t="s">
        <v>33</v>
      </c>
      <c r="F392" s="31">
        <f>IF(F391&gt;0,F389/F391,)</f>
        <v>0</v>
      </c>
      <c r="G392" s="31">
        <f>IF(G391&gt;0,G389/G391,)</f>
        <v>0</v>
      </c>
      <c r="H392" s="10"/>
      <c r="I392" s="10"/>
      <c r="J392" s="13"/>
      <c r="K392" s="10"/>
      <c r="L392" s="20"/>
      <c r="M392" s="20"/>
      <c r="N392" s="20"/>
      <c r="O392" s="20"/>
      <c r="P392" s="20"/>
      <c r="Q392" s="20"/>
      <c r="R392" s="20"/>
      <c r="S392" s="20"/>
    </row>
    <row r="393" spans="1:19" x14ac:dyDescent="0.35">
      <c r="I393" s="10"/>
      <c r="J393" s="13" t="s">
        <v>174</v>
      </c>
      <c r="K393" s="10">
        <f>ROUND('Fund &amp; Member Details'!G54+'Fund &amp; Member Details'!G66,0)</f>
        <v>0</v>
      </c>
    </row>
    <row r="394" spans="1:19" x14ac:dyDescent="0.35">
      <c r="B394" s="23" t="s">
        <v>172</v>
      </c>
      <c r="C394" s="23"/>
      <c r="D394" s="52" t="str">
        <f>IF(D392&gt;100,"Percentage outside range - must be a data problem",IF(D392&lt;0,"Percentage outside range - must be a data problem",""))</f>
        <v/>
      </c>
      <c r="E394" s="23"/>
      <c r="F394" s="23"/>
      <c r="G394" s="23"/>
      <c r="H394" s="23"/>
      <c r="I394" s="23"/>
      <c r="J394" s="23"/>
      <c r="K394" s="23"/>
      <c r="L394" s="23"/>
      <c r="M394" s="23"/>
      <c r="N394" s="23"/>
      <c r="O394" s="23"/>
      <c r="P394" s="23"/>
      <c r="Q394" s="23"/>
      <c r="R394" s="23"/>
      <c r="S394" s="23"/>
    </row>
    <row r="395" spans="1:19" x14ac:dyDescent="0.35">
      <c r="B395" s="23"/>
      <c r="C395" s="23"/>
      <c r="D395" s="41" t="str">
        <f>IF((ABS(J385)+ABS(R385))&gt;1,"check dates","")</f>
        <v/>
      </c>
      <c r="E395" s="23"/>
      <c r="F395" s="23"/>
      <c r="G395" s="23"/>
      <c r="H395" s="23"/>
      <c r="I395" s="23"/>
      <c r="J395" s="23"/>
      <c r="K395" s="23"/>
      <c r="L395" s="23"/>
      <c r="M395" s="23"/>
      <c r="N395" s="23"/>
      <c r="O395" s="23"/>
      <c r="P395" s="23"/>
      <c r="Q395" s="23"/>
      <c r="R395" s="23"/>
      <c r="S395" s="23"/>
    </row>
    <row r="396" spans="1:19" x14ac:dyDescent="0.35">
      <c r="B396" s="23"/>
      <c r="C396" s="23"/>
      <c r="D396" s="23"/>
      <c r="E396" s="23"/>
      <c r="F396" s="23"/>
      <c r="G396" s="23"/>
      <c r="H396" s="23"/>
      <c r="I396" s="23"/>
      <c r="J396" s="23"/>
      <c r="K396" s="23"/>
      <c r="L396" s="23"/>
      <c r="M396" s="23"/>
      <c r="N396" s="23"/>
      <c r="O396" s="23"/>
      <c r="P396" s="23"/>
      <c r="Q396" s="23"/>
      <c r="R396" s="23"/>
      <c r="S396" s="23"/>
    </row>
    <row r="397" spans="1:19" ht="13.15" x14ac:dyDescent="0.4">
      <c r="B397" s="1" t="s">
        <v>307</v>
      </c>
      <c r="D397">
        <f>ROUND(D380/2,0)</f>
        <v>1</v>
      </c>
    </row>
    <row r="399" spans="1:19" ht="13.15" x14ac:dyDescent="0.4">
      <c r="B399" s="1" t="s">
        <v>148</v>
      </c>
      <c r="C399" s="1" t="s">
        <v>298</v>
      </c>
      <c r="D399" s="1" t="s">
        <v>308</v>
      </c>
      <c r="E399" s="1" t="s">
        <v>309</v>
      </c>
    </row>
    <row r="400" spans="1:19" x14ac:dyDescent="0.35">
      <c r="B400">
        <v>1</v>
      </c>
      <c r="C400" s="145">
        <f t="shared" ref="C400:C411" si="35">IF(B400&lt;=2*$D$397,VLOOKUP(B400,$D$15:$E$379,2,FALSE),"")</f>
        <v>45839</v>
      </c>
      <c r="D400" s="145">
        <f t="shared" ref="D400:D411" si="36">IF(B400&lt;=2*$D$397,VLOOKUP(B400+1,$D$15:$E$380,2,FALSE)-1,"")</f>
        <v>46203</v>
      </c>
      <c r="E400" t="str">
        <f t="shared" ref="E400:E410" si="37">IF(C400&lt;&gt;"",CONCATENATE(TEXT(C400,"dd/mm/yy")," to ",TEXT(D400,"dd/mm/yy")),"")</f>
        <v>01/07/25 to 30/06/26</v>
      </c>
    </row>
    <row r="401" spans="2:5" x14ac:dyDescent="0.35">
      <c r="B401">
        <v>3</v>
      </c>
      <c r="C401" s="145" t="str">
        <f t="shared" si="35"/>
        <v/>
      </c>
      <c r="D401" s="145" t="str">
        <f t="shared" si="36"/>
        <v/>
      </c>
      <c r="E401" t="str">
        <f t="shared" si="37"/>
        <v/>
      </c>
    </row>
    <row r="402" spans="2:5" x14ac:dyDescent="0.35">
      <c r="B402">
        <v>5</v>
      </c>
      <c r="C402" s="145" t="str">
        <f t="shared" si="35"/>
        <v/>
      </c>
      <c r="D402" s="145" t="str">
        <f t="shared" si="36"/>
        <v/>
      </c>
      <c r="E402" t="str">
        <f t="shared" si="37"/>
        <v/>
      </c>
    </row>
    <row r="403" spans="2:5" x14ac:dyDescent="0.35">
      <c r="B403">
        <v>7</v>
      </c>
      <c r="C403" s="145" t="str">
        <f t="shared" si="35"/>
        <v/>
      </c>
      <c r="D403" s="145" t="str">
        <f t="shared" si="36"/>
        <v/>
      </c>
      <c r="E403" t="str">
        <f t="shared" si="37"/>
        <v/>
      </c>
    </row>
    <row r="404" spans="2:5" x14ac:dyDescent="0.35">
      <c r="B404">
        <v>9</v>
      </c>
      <c r="C404" s="145" t="str">
        <f t="shared" si="35"/>
        <v/>
      </c>
      <c r="D404" s="145" t="str">
        <f t="shared" si="36"/>
        <v/>
      </c>
      <c r="E404" t="str">
        <f t="shared" si="37"/>
        <v/>
      </c>
    </row>
    <row r="405" spans="2:5" x14ac:dyDescent="0.35">
      <c r="B405">
        <v>11</v>
      </c>
      <c r="C405" s="145" t="str">
        <f t="shared" si="35"/>
        <v/>
      </c>
      <c r="D405" s="145" t="str">
        <f t="shared" si="36"/>
        <v/>
      </c>
      <c r="E405" t="str">
        <f t="shared" si="37"/>
        <v/>
      </c>
    </row>
    <row r="406" spans="2:5" x14ac:dyDescent="0.35">
      <c r="B406">
        <v>13</v>
      </c>
      <c r="C406" s="145" t="str">
        <f t="shared" si="35"/>
        <v/>
      </c>
      <c r="D406" s="145" t="str">
        <f t="shared" si="36"/>
        <v/>
      </c>
      <c r="E406" t="str">
        <f t="shared" si="37"/>
        <v/>
      </c>
    </row>
    <row r="407" spans="2:5" x14ac:dyDescent="0.35">
      <c r="B407">
        <v>15</v>
      </c>
      <c r="C407" s="145" t="str">
        <f t="shared" si="35"/>
        <v/>
      </c>
      <c r="D407" s="145" t="str">
        <f t="shared" si="36"/>
        <v/>
      </c>
      <c r="E407" t="str">
        <f t="shared" si="37"/>
        <v/>
      </c>
    </row>
    <row r="408" spans="2:5" x14ac:dyDescent="0.35">
      <c r="B408">
        <v>17</v>
      </c>
      <c r="C408" s="145" t="str">
        <f t="shared" si="35"/>
        <v/>
      </c>
      <c r="D408" s="145" t="str">
        <f t="shared" si="36"/>
        <v/>
      </c>
      <c r="E408" t="str">
        <f t="shared" si="37"/>
        <v/>
      </c>
    </row>
    <row r="409" spans="2:5" x14ac:dyDescent="0.35">
      <c r="B409">
        <v>19</v>
      </c>
      <c r="C409" s="145" t="str">
        <f t="shared" si="35"/>
        <v/>
      </c>
      <c r="D409" s="145" t="str">
        <f t="shared" si="36"/>
        <v/>
      </c>
      <c r="E409" t="str">
        <f t="shared" si="37"/>
        <v/>
      </c>
    </row>
    <row r="410" spans="2:5" x14ac:dyDescent="0.35">
      <c r="B410">
        <v>21</v>
      </c>
      <c r="C410" s="145" t="str">
        <f t="shared" si="35"/>
        <v/>
      </c>
      <c r="D410" s="145" t="str">
        <f t="shared" si="36"/>
        <v/>
      </c>
      <c r="E410" t="str">
        <f t="shared" si="37"/>
        <v/>
      </c>
    </row>
    <row r="411" spans="2:5" x14ac:dyDescent="0.35">
      <c r="B411">
        <v>23</v>
      </c>
      <c r="C411" s="145" t="str">
        <f t="shared" si="35"/>
        <v/>
      </c>
      <c r="D411" s="145" t="str">
        <f t="shared" si="36"/>
        <v/>
      </c>
      <c r="E411" t="str">
        <f>IF(C411&lt;&gt;"",CONCATENATE(TEXT(C411,"dd/mm/yy")," to ",TEXT(D411,"dd/mm/yy")),"")</f>
        <v/>
      </c>
    </row>
    <row r="413" spans="2:5" x14ac:dyDescent="0.35">
      <c r="B413" s="23"/>
    </row>
    <row r="414" spans="2:5" x14ac:dyDescent="0.35">
      <c r="B414" s="23"/>
      <c r="C414" s="23"/>
    </row>
    <row r="415" spans="2:5" x14ac:dyDescent="0.35">
      <c r="B415" s="23"/>
      <c r="C415" s="23"/>
    </row>
  </sheetData>
  <sheetProtection algorithmName="SHA-512" hashValue="BdBDV7gj7kTDqBdWjK23Zj4dHQEK4G5QJf5wHJxjBiVvgqbWyZ1ZpRO3GZjV6AQgsIN5SUk1m+Rd1TKz39nZfA==" saltValue="AeabpKvZ6vpExpNtXNV5pg==" spinCount="100000" sheet="1" objects="1" scenarios="1"/>
  <phoneticPr fontId="5"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2"/>
  <sheetViews>
    <sheetView workbookViewId="0">
      <selection activeCell="B93" sqref="B93"/>
    </sheetView>
  </sheetViews>
  <sheetFormatPr defaultColWidth="9.1328125" defaultRowHeight="12.75" x14ac:dyDescent="0.35"/>
  <cols>
    <col min="1" max="1" width="7.1328125" customWidth="1"/>
    <col min="2" max="2" width="6.59765625" customWidth="1"/>
    <col min="3" max="3" width="7.73046875" customWidth="1"/>
    <col min="6" max="6" width="9.1328125" customWidth="1"/>
    <col min="7" max="7" width="12.1328125" bestFit="1" customWidth="1"/>
    <col min="8" max="8" width="11.3984375" customWidth="1"/>
    <col min="9" max="9" width="14.59765625" customWidth="1"/>
  </cols>
  <sheetData>
    <row r="1" spans="1:9" ht="82.5" customHeight="1" x14ac:dyDescent="2.35">
      <c r="A1" s="177" t="s">
        <v>44</v>
      </c>
      <c r="B1" s="177"/>
      <c r="C1" s="178"/>
      <c r="D1" s="178"/>
      <c r="E1" s="178"/>
      <c r="F1" s="178"/>
      <c r="G1" s="178"/>
      <c r="H1" s="178"/>
      <c r="I1" s="178"/>
    </row>
    <row r="2" spans="1:9" ht="17.649999999999999" x14ac:dyDescent="0.5">
      <c r="A2" s="179" t="s">
        <v>45</v>
      </c>
      <c r="B2" s="179"/>
      <c r="C2" s="180"/>
      <c r="D2" s="180"/>
      <c r="E2" s="180"/>
      <c r="F2" s="180"/>
      <c r="G2" s="180"/>
      <c r="H2" s="180"/>
      <c r="I2" s="180"/>
    </row>
    <row r="3" spans="1:9" x14ac:dyDescent="0.35">
      <c r="A3" s="23"/>
      <c r="B3" s="23"/>
      <c r="C3" s="23"/>
      <c r="D3" s="23"/>
      <c r="E3" s="23"/>
      <c r="F3" s="23"/>
      <c r="G3" s="23"/>
      <c r="H3" s="23"/>
      <c r="I3" s="23"/>
    </row>
    <row r="4" spans="1:9" ht="13.15" x14ac:dyDescent="0.4">
      <c r="A4" s="182" t="s">
        <v>40</v>
      </c>
      <c r="B4" s="182"/>
      <c r="C4" s="182"/>
      <c r="D4" s="182"/>
      <c r="E4" s="182"/>
      <c r="F4" s="182"/>
      <c r="G4" s="182"/>
      <c r="H4" s="182"/>
      <c r="I4" s="182"/>
    </row>
    <row r="5" spans="1:9" ht="13.15" x14ac:dyDescent="0.4">
      <c r="A5" s="182" t="s">
        <v>53</v>
      </c>
      <c r="B5" s="182"/>
      <c r="C5" s="186"/>
      <c r="D5" s="186"/>
      <c r="E5" s="186"/>
      <c r="F5" s="186"/>
      <c r="G5" s="186"/>
      <c r="H5" s="186"/>
      <c r="I5" s="186"/>
    </row>
    <row r="6" spans="1:9" ht="13.15" x14ac:dyDescent="0.4">
      <c r="A6" s="182" t="str">
        <f>UPPER('Fund &amp; Member Details'!B21)</f>
        <v/>
      </c>
      <c r="B6" s="182"/>
      <c r="C6" s="186"/>
      <c r="D6" s="186"/>
      <c r="E6" s="186"/>
      <c r="F6" s="186"/>
      <c r="G6" s="186"/>
      <c r="H6" s="186"/>
      <c r="I6" s="186"/>
    </row>
    <row r="7" spans="1:9" ht="13.15" x14ac:dyDescent="0.4">
      <c r="A7" s="182" t="s">
        <v>370</v>
      </c>
      <c r="B7" s="183"/>
      <c r="C7" s="183"/>
      <c r="D7" s="183"/>
      <c r="E7" s="183"/>
      <c r="F7" s="183"/>
      <c r="G7" s="183"/>
      <c r="H7" s="183"/>
      <c r="I7" s="183"/>
    </row>
    <row r="8" spans="1:9" x14ac:dyDescent="0.35">
      <c r="A8" s="23"/>
      <c r="B8" s="23"/>
      <c r="C8" s="23"/>
      <c r="D8" s="23"/>
      <c r="E8" s="23"/>
      <c r="F8" s="23"/>
      <c r="G8" s="23"/>
      <c r="H8" s="23"/>
      <c r="I8" s="23"/>
    </row>
    <row r="9" spans="1:9" x14ac:dyDescent="0.35">
      <c r="A9" s="23" t="str">
        <f>CONCATENATE("To: ",Check!D5," (Trustee",Check!D3,")")</f>
        <v>To:  and  (Trustees)</v>
      </c>
      <c r="B9" s="23"/>
      <c r="C9" s="23"/>
      <c r="D9" s="23"/>
      <c r="E9" s="23"/>
      <c r="F9" s="23"/>
      <c r="G9" s="23"/>
      <c r="H9" s="23"/>
      <c r="I9" s="23"/>
    </row>
    <row r="10" spans="1:9" x14ac:dyDescent="0.35">
      <c r="A10" s="23"/>
      <c r="B10" s="23"/>
      <c r="C10" s="23"/>
      <c r="D10" s="23"/>
      <c r="E10" s="23"/>
      <c r="F10" s="23"/>
      <c r="G10" s="23"/>
      <c r="H10" s="23"/>
      <c r="I10" s="23"/>
    </row>
    <row r="11" spans="1:9" x14ac:dyDescent="0.35">
      <c r="A11" s="181" t="str">
        <f>CONCATENATE("I have been requested to prepare this certificate by ",Check!D6," on behalf of the Trustee",Check!D3," of the above fund.")</f>
        <v>I have been requested to prepare this certificate by  on behalf of the Trustees of the above fund.</v>
      </c>
      <c r="B11" s="181"/>
      <c r="C11" s="181"/>
      <c r="D11" s="181"/>
      <c r="E11" s="181"/>
      <c r="F11" s="181"/>
      <c r="G11" s="181"/>
      <c r="H11" s="181"/>
      <c r="I11" s="181"/>
    </row>
    <row r="12" spans="1:9" x14ac:dyDescent="0.35">
      <c r="A12" s="181"/>
      <c r="B12" s="181"/>
      <c r="C12" s="181"/>
      <c r="D12" s="181"/>
      <c r="E12" s="181"/>
      <c r="F12" s="181"/>
      <c r="G12" s="181"/>
      <c r="H12" s="181"/>
      <c r="I12" s="181"/>
    </row>
    <row r="13" spans="1:9" x14ac:dyDescent="0.35">
      <c r="A13" s="24"/>
      <c r="B13" s="24"/>
      <c r="C13" s="24"/>
      <c r="D13" s="24"/>
      <c r="E13" s="24"/>
      <c r="F13" s="24"/>
      <c r="G13" s="24"/>
      <c r="H13" s="24"/>
      <c r="I13" s="24"/>
    </row>
    <row r="14" spans="1:9" x14ac:dyDescent="0.35">
      <c r="A14" s="181" t="s">
        <v>291</v>
      </c>
      <c r="B14" s="185"/>
      <c r="C14" s="185"/>
      <c r="D14" s="185"/>
      <c r="E14" s="185"/>
      <c r="F14" s="185"/>
      <c r="G14" s="185"/>
      <c r="H14" s="185"/>
      <c r="I14" s="185"/>
    </row>
    <row r="15" spans="1:9" x14ac:dyDescent="0.35">
      <c r="A15" s="185"/>
      <c r="B15" s="185"/>
      <c r="C15" s="185"/>
      <c r="D15" s="185"/>
      <c r="E15" s="185"/>
      <c r="F15" s="185"/>
      <c r="G15" s="185"/>
      <c r="H15" s="185"/>
      <c r="I15" s="185"/>
    </row>
    <row r="16" spans="1:9" x14ac:dyDescent="0.35">
      <c r="A16" s="185"/>
      <c r="B16" s="185"/>
      <c r="C16" s="185"/>
      <c r="D16" s="185"/>
      <c r="E16" s="185"/>
      <c r="F16" s="185"/>
      <c r="G16" s="185"/>
      <c r="H16" s="185"/>
      <c r="I16" s="185"/>
    </row>
    <row r="17" spans="1:9" x14ac:dyDescent="0.35">
      <c r="A17" s="185"/>
      <c r="B17" s="185"/>
      <c r="C17" s="185"/>
      <c r="D17" s="185"/>
      <c r="E17" s="185"/>
      <c r="F17" s="185"/>
      <c r="G17" s="185"/>
      <c r="H17" s="185"/>
      <c r="I17" s="185"/>
    </row>
    <row r="18" spans="1:9" x14ac:dyDescent="0.35">
      <c r="A18" s="24"/>
      <c r="B18" s="24"/>
      <c r="C18" s="24"/>
      <c r="D18" s="24"/>
      <c r="E18" s="24"/>
      <c r="F18" s="24"/>
      <c r="G18" s="24"/>
      <c r="H18" s="24"/>
      <c r="I18" s="24"/>
    </row>
    <row r="19" spans="1:9" x14ac:dyDescent="0.35">
      <c r="A19" s="181" t="str">
        <f>CONCATENATE(Check!B17,"  ",Check!B20,"The value of superannuation liabilities is taken to be the account balances of members at the relevant date.  The value of pension liabilities is taken to be the account balances of members in receipt of retirement phase pensions ","at the relevant date.")</f>
        <v>The certificate is based on Fund data supplied and the fact that the pensioner concerned is being paid a retirement phase (account-based, allocated and/or market-linked) pension which, in any one tax year, must remain between the legislated minima and maxima.  The value of superannuation liabilities is taken to be the account balances of members at the relevant date.  The value of pension liabilities is taken to be the account balances of members in receipt of retirement phase pensions at the relevant date.</v>
      </c>
      <c r="B19" s="185"/>
      <c r="C19" s="185"/>
      <c r="D19" s="185"/>
      <c r="E19" s="185"/>
      <c r="F19" s="185"/>
      <c r="G19" s="185"/>
      <c r="H19" s="185"/>
      <c r="I19" s="185"/>
    </row>
    <row r="20" spans="1:9" x14ac:dyDescent="0.35">
      <c r="A20" s="185"/>
      <c r="B20" s="185"/>
      <c r="C20" s="185"/>
      <c r="D20" s="185"/>
      <c r="E20" s="185"/>
      <c r="F20" s="185"/>
      <c r="G20" s="185"/>
      <c r="H20" s="185"/>
      <c r="I20" s="185"/>
    </row>
    <row r="21" spans="1:9" x14ac:dyDescent="0.35">
      <c r="A21" s="185"/>
      <c r="B21" s="185"/>
      <c r="C21" s="185"/>
      <c r="D21" s="185"/>
      <c r="E21" s="185"/>
      <c r="F21" s="185"/>
      <c r="G21" s="185"/>
      <c r="H21" s="185"/>
      <c r="I21" s="185"/>
    </row>
    <row r="22" spans="1:9" x14ac:dyDescent="0.35">
      <c r="A22" s="185"/>
      <c r="B22" s="185"/>
      <c r="C22" s="185"/>
      <c r="D22" s="185"/>
      <c r="E22" s="185"/>
      <c r="F22" s="185"/>
      <c r="G22" s="185"/>
      <c r="H22" s="185"/>
      <c r="I22" s="185"/>
    </row>
    <row r="23" spans="1:9" x14ac:dyDescent="0.35">
      <c r="A23" s="185"/>
      <c r="B23" s="185"/>
      <c r="C23" s="185"/>
      <c r="D23" s="185"/>
      <c r="E23" s="185"/>
      <c r="F23" s="185"/>
      <c r="G23" s="185"/>
      <c r="H23" s="185"/>
      <c r="I23" s="185"/>
    </row>
    <row r="24" spans="1:9" x14ac:dyDescent="0.35">
      <c r="A24" s="140"/>
      <c r="B24" s="140"/>
      <c r="C24" s="140"/>
      <c r="D24" s="140"/>
      <c r="E24" s="140"/>
      <c r="F24" s="140"/>
      <c r="G24" s="140"/>
      <c r="H24" s="140"/>
      <c r="I24" s="140"/>
    </row>
    <row r="25" spans="1:9" x14ac:dyDescent="0.35">
      <c r="A25" s="181" t="s">
        <v>371</v>
      </c>
      <c r="B25" s="181"/>
      <c r="C25" s="181"/>
      <c r="D25" s="181"/>
      <c r="E25" s="181"/>
      <c r="F25" s="181"/>
      <c r="G25" s="181"/>
      <c r="H25" s="181"/>
      <c r="I25" s="181"/>
    </row>
    <row r="26" spans="1:9" x14ac:dyDescent="0.35">
      <c r="A26" s="181"/>
      <c r="B26" s="181"/>
      <c r="C26" s="181"/>
      <c r="D26" s="181"/>
      <c r="E26" s="181"/>
      <c r="F26" s="181"/>
      <c r="G26" s="181"/>
      <c r="H26" s="181"/>
      <c r="I26" s="181"/>
    </row>
    <row r="27" spans="1:9" x14ac:dyDescent="0.35">
      <c r="A27" s="23"/>
      <c r="B27" s="23"/>
      <c r="C27" s="23"/>
      <c r="D27" s="23"/>
      <c r="E27" s="23"/>
      <c r="F27" s="23"/>
      <c r="G27" s="23"/>
      <c r="H27" s="23"/>
      <c r="I27" s="23"/>
    </row>
    <row r="28" spans="1:9" x14ac:dyDescent="0.35">
      <c r="A28" s="23"/>
      <c r="B28" s="23"/>
      <c r="C28" s="23" t="s">
        <v>37</v>
      </c>
      <c r="D28" s="23"/>
      <c r="E28" s="23"/>
      <c r="F28" s="23"/>
      <c r="G28" s="112">
        <f>'Percentage Calc'!D389</f>
        <v>0</v>
      </c>
      <c r="H28" s="23"/>
      <c r="I28" s="23"/>
    </row>
    <row r="29" spans="1:9" x14ac:dyDescent="0.35">
      <c r="A29" s="23"/>
      <c r="B29" s="23"/>
      <c r="C29" s="23" t="s">
        <v>38</v>
      </c>
      <c r="D29" s="23"/>
      <c r="E29" s="23"/>
      <c r="F29" s="23"/>
      <c r="G29" s="113">
        <f>'Percentage Calc'!D390</f>
        <v>0</v>
      </c>
      <c r="H29" s="23"/>
      <c r="I29" s="23"/>
    </row>
    <row r="30" spans="1:9" x14ac:dyDescent="0.35">
      <c r="A30" s="23"/>
      <c r="B30" s="23"/>
      <c r="C30" s="23" t="s">
        <v>39</v>
      </c>
      <c r="D30" s="23"/>
      <c r="E30" s="23"/>
      <c r="F30" s="23"/>
      <c r="G30" s="112">
        <f>'Percentage Calc'!D391</f>
        <v>0</v>
      </c>
      <c r="H30" s="23"/>
      <c r="I30" s="23"/>
    </row>
    <row r="31" spans="1:9" x14ac:dyDescent="0.35">
      <c r="A31" s="23"/>
      <c r="B31" s="23"/>
      <c r="C31" s="23"/>
      <c r="D31" s="23"/>
      <c r="E31" s="23"/>
      <c r="F31" s="23"/>
      <c r="G31" s="23"/>
      <c r="H31" s="23"/>
      <c r="I31" s="23"/>
    </row>
    <row r="32" spans="1:9" x14ac:dyDescent="0.35">
      <c r="A32" s="181" t="str">
        <f>IF('Percentage Calc'!D397&gt;2,Check!B78,IF('Percentage Calc'!D397&gt;1,Check!B77,IF('Percentage Calc'!D397=1,Check!B75,"")))</f>
        <v>There were no segregated current pension assets and no segregated non-current pension assets held at any time during the year .</v>
      </c>
      <c r="B32" s="181"/>
      <c r="C32" s="181"/>
      <c r="D32" s="181"/>
      <c r="E32" s="181"/>
      <c r="F32" s="181"/>
      <c r="G32" s="181"/>
      <c r="H32" s="181"/>
      <c r="I32" s="181"/>
    </row>
    <row r="33" spans="1:9" x14ac:dyDescent="0.35">
      <c r="A33" s="181"/>
      <c r="B33" s="181"/>
      <c r="C33" s="181"/>
      <c r="D33" s="181"/>
      <c r="E33" s="181"/>
      <c r="F33" s="181"/>
      <c r="G33" s="181"/>
      <c r="H33" s="181"/>
      <c r="I33" s="181"/>
    </row>
    <row r="34" spans="1:9" x14ac:dyDescent="0.35">
      <c r="A34" s="23"/>
      <c r="B34" s="23"/>
      <c r="C34" s="23"/>
      <c r="D34" s="23"/>
      <c r="E34" s="23"/>
      <c r="F34" s="23"/>
      <c r="G34" s="23"/>
      <c r="H34" s="23"/>
      <c r="I34" s="23"/>
    </row>
    <row r="35" spans="1:9" x14ac:dyDescent="0.35">
      <c r="A35" s="181" t="str">
        <f>IF('Fund &amp; Member Details'!B30&lt;&gt;"Y",Check!A65,Check!A66)</f>
        <v>I am satisfied that the value at 30 June, 2026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v>
      </c>
      <c r="B35" s="185"/>
      <c r="C35" s="185"/>
      <c r="D35" s="185"/>
      <c r="E35" s="185"/>
      <c r="F35" s="185"/>
      <c r="G35" s="185"/>
      <c r="H35" s="185"/>
      <c r="I35" s="185"/>
    </row>
    <row r="36" spans="1:9" x14ac:dyDescent="0.35">
      <c r="A36" s="185"/>
      <c r="B36" s="185"/>
      <c r="C36" s="185"/>
      <c r="D36" s="185"/>
      <c r="E36" s="185"/>
      <c r="F36" s="185"/>
      <c r="G36" s="185"/>
      <c r="H36" s="185"/>
      <c r="I36" s="185"/>
    </row>
    <row r="37" spans="1:9" x14ac:dyDescent="0.35">
      <c r="A37" s="185"/>
      <c r="B37" s="185"/>
      <c r="C37" s="185"/>
      <c r="D37" s="185"/>
      <c r="E37" s="185"/>
      <c r="F37" s="185"/>
      <c r="G37" s="185"/>
      <c r="H37" s="185"/>
      <c r="I37" s="185"/>
    </row>
    <row r="38" spans="1:9" x14ac:dyDescent="0.35">
      <c r="A38" s="185"/>
      <c r="B38" s="185"/>
      <c r="C38" s="185"/>
      <c r="D38" s="185"/>
      <c r="E38" s="185"/>
      <c r="F38" s="185"/>
      <c r="G38" s="185"/>
      <c r="H38" s="185"/>
      <c r="I38" s="185"/>
    </row>
    <row r="39" spans="1:9" x14ac:dyDescent="0.35">
      <c r="A39" s="185"/>
      <c r="B39" s="185"/>
      <c r="C39" s="185"/>
      <c r="D39" s="185"/>
      <c r="E39" s="185"/>
      <c r="F39" s="185"/>
      <c r="G39" s="185"/>
      <c r="H39" s="185"/>
      <c r="I39" s="185"/>
    </row>
    <row r="40" spans="1:9" x14ac:dyDescent="0.35">
      <c r="A40" s="53"/>
      <c r="B40" s="53"/>
      <c r="C40" s="53"/>
      <c r="D40" s="53"/>
      <c r="E40" s="53"/>
      <c r="F40" s="53"/>
      <c r="G40" s="53"/>
      <c r="H40" s="53"/>
      <c r="I40" s="53"/>
    </row>
    <row r="41" spans="1:9" x14ac:dyDescent="0.35">
      <c r="A41" s="23" t="s">
        <v>372</v>
      </c>
      <c r="B41" s="23"/>
      <c r="C41" s="23"/>
      <c r="D41" s="23"/>
      <c r="E41" s="23"/>
      <c r="F41" s="23"/>
      <c r="G41" s="23"/>
      <c r="H41" s="23"/>
      <c r="I41" s="23"/>
    </row>
    <row r="42" spans="1:9" x14ac:dyDescent="0.35">
      <c r="A42" s="23"/>
      <c r="B42" s="23"/>
      <c r="C42" s="23"/>
      <c r="D42" s="23"/>
      <c r="E42" s="23"/>
      <c r="F42" s="23"/>
      <c r="G42" s="23"/>
      <c r="H42" s="23"/>
      <c r="I42" s="23"/>
    </row>
    <row r="43" spans="1:9" ht="13.15" x14ac:dyDescent="0.4">
      <c r="A43" s="23"/>
      <c r="B43" s="114" t="str">
        <f>CONCATENATE("Average value of unsegregated pension liabilities                                           ")</f>
        <v xml:space="preserve">Average value of unsegregated pension liabilities                                           </v>
      </c>
      <c r="C43" s="115"/>
      <c r="D43" s="115"/>
      <c r="E43" s="115"/>
      <c r="F43" s="115"/>
      <c r="G43" s="115"/>
      <c r="H43" s="116">
        <f>G28</f>
        <v>0</v>
      </c>
      <c r="I43" s="117"/>
    </row>
    <row r="44" spans="1:9" ht="13.15" x14ac:dyDescent="0.4">
      <c r="A44" s="23"/>
      <c r="B44" s="114" t="str">
        <f>CONCATENATE("Average value of unsegregated superannuation liabilities ")</f>
        <v xml:space="preserve">Average value of unsegregated superannuation liabilities </v>
      </c>
      <c r="C44" s="115"/>
      <c r="D44" s="115"/>
      <c r="E44" s="115"/>
      <c r="F44" s="115"/>
      <c r="G44" s="115"/>
      <c r="H44" s="116">
        <f>G30</f>
        <v>0</v>
      </c>
      <c r="I44" s="118" t="str">
        <f>CONCATENATE("=  ",'Percentage Calc'!D392,"%")</f>
        <v>=  0%</v>
      </c>
    </row>
    <row r="45" spans="1:9" x14ac:dyDescent="0.35">
      <c r="A45" s="23"/>
      <c r="B45" s="23"/>
      <c r="C45" s="23"/>
      <c r="D45" s="23"/>
      <c r="E45" s="23"/>
      <c r="F45" s="23"/>
      <c r="G45" s="23"/>
      <c r="H45" s="23"/>
      <c r="I45" s="23"/>
    </row>
    <row r="46" spans="1:9" x14ac:dyDescent="0.35">
      <c r="A46" s="23"/>
      <c r="B46" s="23"/>
      <c r="C46" s="23"/>
      <c r="D46" s="23"/>
      <c r="E46" s="23"/>
      <c r="F46" s="23"/>
      <c r="G46" s="23"/>
      <c r="H46" s="23"/>
      <c r="I46" s="23"/>
    </row>
    <row r="47" spans="1:9" x14ac:dyDescent="0.35">
      <c r="A47" s="23"/>
      <c r="B47" s="23"/>
      <c r="C47" s="23"/>
      <c r="D47" s="23"/>
      <c r="E47" s="23"/>
      <c r="F47" s="23"/>
      <c r="G47" s="23"/>
      <c r="H47" s="23"/>
      <c r="I47" s="23"/>
    </row>
    <row r="48" spans="1:9" x14ac:dyDescent="0.35">
      <c r="A48" s="23"/>
      <c r="B48" s="23"/>
      <c r="C48" s="23"/>
      <c r="D48" s="23"/>
      <c r="E48" s="23"/>
      <c r="F48" s="23"/>
      <c r="G48" s="23"/>
      <c r="H48" s="23"/>
      <c r="I48" s="23"/>
    </row>
    <row r="49" spans="1:9" x14ac:dyDescent="0.35">
      <c r="A49" s="23"/>
      <c r="B49" s="23"/>
      <c r="C49" s="23"/>
      <c r="D49" s="23"/>
      <c r="E49" s="23"/>
      <c r="F49" s="23"/>
      <c r="G49" s="23"/>
      <c r="H49" s="23"/>
      <c r="I49" s="23"/>
    </row>
    <row r="50" spans="1:9" x14ac:dyDescent="0.35">
      <c r="A50" s="23"/>
      <c r="B50" s="23"/>
      <c r="C50" s="23"/>
      <c r="D50" s="23"/>
      <c r="E50" s="23"/>
      <c r="F50" s="23"/>
      <c r="G50" s="23"/>
      <c r="H50" s="23"/>
      <c r="I50" s="23"/>
    </row>
    <row r="51" spans="1:9" x14ac:dyDescent="0.35">
      <c r="A51" s="23" t="s">
        <v>41</v>
      </c>
      <c r="B51" s="23"/>
      <c r="C51" s="23"/>
      <c r="D51" s="23"/>
      <c r="E51" s="23"/>
      <c r="F51" s="23"/>
      <c r="G51" s="23"/>
      <c r="H51" s="23"/>
      <c r="I51" s="23"/>
    </row>
    <row r="52" spans="1:9" x14ac:dyDescent="0.35">
      <c r="A52" s="23" t="s">
        <v>42</v>
      </c>
      <c r="B52" s="23"/>
      <c r="C52" s="23"/>
      <c r="D52" s="23"/>
      <c r="E52" s="23"/>
      <c r="F52" s="23"/>
      <c r="G52" s="23"/>
      <c r="H52" s="23"/>
      <c r="I52" s="23"/>
    </row>
    <row r="53" spans="1:9" x14ac:dyDescent="0.35">
      <c r="A53" s="187">
        <f>Check!D7</f>
        <v>46204</v>
      </c>
      <c r="B53" s="187"/>
      <c r="C53" s="178"/>
      <c r="D53" s="23"/>
      <c r="E53" s="23"/>
      <c r="F53" s="23"/>
      <c r="G53" s="23"/>
      <c r="H53" s="23"/>
      <c r="I53" s="23"/>
    </row>
    <row r="54" spans="1:9" x14ac:dyDescent="0.35">
      <c r="A54" s="119"/>
      <c r="B54" s="119"/>
      <c r="C54" s="23"/>
      <c r="D54" s="23"/>
      <c r="E54" s="23"/>
      <c r="F54" s="23"/>
      <c r="G54" s="23"/>
      <c r="H54" s="23"/>
      <c r="I54" s="23"/>
    </row>
    <row r="55" spans="1:9" x14ac:dyDescent="0.35">
      <c r="A55" s="119"/>
      <c r="B55" s="119"/>
      <c r="C55" s="23"/>
      <c r="D55" s="23"/>
      <c r="E55" s="23"/>
      <c r="F55" s="23"/>
      <c r="G55" s="23"/>
      <c r="H55" s="23"/>
      <c r="I55" s="23"/>
    </row>
    <row r="56" spans="1:9" x14ac:dyDescent="0.35">
      <c r="A56" s="184" t="s">
        <v>50</v>
      </c>
      <c r="B56" s="184"/>
      <c r="C56" s="178"/>
      <c r="D56" s="178"/>
      <c r="E56" s="178"/>
      <c r="F56" s="178"/>
      <c r="G56" s="178"/>
      <c r="H56" s="178"/>
      <c r="I56" s="178"/>
    </row>
    <row r="57" spans="1:9" x14ac:dyDescent="0.35">
      <c r="A57" s="184" t="s">
        <v>334</v>
      </c>
      <c r="B57" s="184"/>
      <c r="C57" s="178"/>
      <c r="D57" s="178"/>
      <c r="E57" s="178"/>
      <c r="F57" s="178"/>
      <c r="G57" s="178"/>
      <c r="H57" s="178"/>
      <c r="I57" s="178"/>
    </row>
    <row r="58" spans="1:9" x14ac:dyDescent="0.35">
      <c r="A58" s="184" t="s">
        <v>47</v>
      </c>
      <c r="B58" s="184"/>
      <c r="C58" s="178"/>
      <c r="D58" s="178"/>
      <c r="E58" s="178"/>
      <c r="F58" s="178"/>
      <c r="G58" s="178"/>
      <c r="H58" s="178"/>
      <c r="I58" s="178"/>
    </row>
    <row r="59" spans="1:9" x14ac:dyDescent="0.35">
      <c r="A59" s="120"/>
      <c r="B59" s="120"/>
    </row>
    <row r="60" spans="1:9" x14ac:dyDescent="0.35">
      <c r="A60" s="120"/>
      <c r="B60" s="120"/>
    </row>
    <row r="61" spans="1:9" x14ac:dyDescent="0.35">
      <c r="A61" s="120"/>
      <c r="B61" s="120"/>
    </row>
    <row r="62" spans="1:9" ht="13.15" x14ac:dyDescent="0.35">
      <c r="A62" s="190" t="s">
        <v>223</v>
      </c>
      <c r="B62" s="191"/>
      <c r="C62" s="191"/>
      <c r="D62" s="191"/>
      <c r="E62" s="191"/>
      <c r="F62" s="191"/>
      <c r="G62" s="191"/>
      <c r="H62" s="191"/>
      <c r="I62" s="191"/>
    </row>
    <row r="63" spans="1:9" ht="13.15" x14ac:dyDescent="0.35">
      <c r="A63" s="190" t="s">
        <v>224</v>
      </c>
      <c r="B63" s="191"/>
      <c r="C63" s="191"/>
      <c r="D63" s="191"/>
      <c r="E63" s="191"/>
      <c r="F63" s="191"/>
      <c r="G63" s="191"/>
      <c r="H63" s="191"/>
      <c r="I63" s="191"/>
    </row>
    <row r="64" spans="1:9" ht="13.15" x14ac:dyDescent="0.4">
      <c r="A64" s="182" t="s">
        <v>370</v>
      </c>
      <c r="B64" s="183"/>
      <c r="C64" s="183"/>
      <c r="D64" s="183"/>
      <c r="E64" s="183"/>
      <c r="F64" s="183"/>
      <c r="G64" s="183"/>
      <c r="H64" s="183"/>
      <c r="I64" s="183"/>
    </row>
    <row r="66" spans="1:9" ht="13.15" x14ac:dyDescent="0.4">
      <c r="A66" s="182" t="str">
        <f>UPPER('Fund &amp; Member Details'!B21)</f>
        <v/>
      </c>
      <c r="B66" s="183"/>
      <c r="C66" s="183"/>
      <c r="D66" s="183"/>
      <c r="E66" s="183"/>
      <c r="F66" s="183"/>
      <c r="G66" s="183"/>
      <c r="H66" s="183"/>
      <c r="I66" s="183"/>
    </row>
    <row r="68" spans="1:9" x14ac:dyDescent="0.35">
      <c r="A68" s="23" t="s">
        <v>226</v>
      </c>
      <c r="C68" t="str">
        <f>Check!D6</f>
        <v/>
      </c>
    </row>
    <row r="70" spans="1:9" x14ac:dyDescent="0.35">
      <c r="A70" s="192" t="str">
        <f>CONCATENATE("Trustee",Check!D3,":")</f>
        <v>Trustees:</v>
      </c>
      <c r="B70" s="178"/>
      <c r="C70" t="str">
        <f>Check!D5</f>
        <v xml:space="preserve"> and </v>
      </c>
    </row>
    <row r="72" spans="1:9" x14ac:dyDescent="0.35">
      <c r="A72" s="23" t="s">
        <v>239</v>
      </c>
    </row>
    <row r="74" spans="1:9" x14ac:dyDescent="0.35">
      <c r="A74" s="23"/>
      <c r="B74" s="23" t="s">
        <v>373</v>
      </c>
      <c r="H74" s="121">
        <f>ROUND('Fund &amp; Member Details'!G74,0)</f>
        <v>0</v>
      </c>
    </row>
    <row r="75" spans="1:9" x14ac:dyDescent="0.35">
      <c r="A75" s="23"/>
      <c r="B75" s="122" t="s">
        <v>220</v>
      </c>
    </row>
    <row r="76" spans="1:9" x14ac:dyDescent="0.35">
      <c r="A76" s="23"/>
      <c r="B76" s="23" t="s">
        <v>293</v>
      </c>
      <c r="F76" s="4"/>
      <c r="G76" s="121">
        <f>ROUND('Fund &amp; Member Details'!G49,0)</f>
        <v>0</v>
      </c>
    </row>
    <row r="77" spans="1:9" x14ac:dyDescent="0.35">
      <c r="A77" s="23"/>
      <c r="B77" s="23" t="s">
        <v>292</v>
      </c>
      <c r="F77" s="4"/>
      <c r="G77" s="121">
        <f>ROUND('Fund &amp; Member Details'!G59+'Fund &amp; Member Details'!G60,0)</f>
        <v>0</v>
      </c>
    </row>
    <row r="79" spans="1:9" x14ac:dyDescent="0.35">
      <c r="A79" s="23"/>
      <c r="B79" s="23" t="s">
        <v>221</v>
      </c>
    </row>
    <row r="80" spans="1:9" x14ac:dyDescent="0.35">
      <c r="A80" s="123"/>
      <c r="B80" s="123" t="s">
        <v>64</v>
      </c>
      <c r="H80" s="121">
        <f>ROUND('Fund &amp; Member Details'!G61,0)</f>
        <v>0</v>
      </c>
    </row>
    <row r="81" spans="1:9" x14ac:dyDescent="0.35">
      <c r="A81" s="123"/>
      <c r="B81" s="123" t="s">
        <v>179</v>
      </c>
      <c r="H81" s="121">
        <f>ROUND('Fund &amp; Member Details'!G51+'Fund &amp; Member Details'!G62,0)</f>
        <v>0</v>
      </c>
    </row>
    <row r="82" spans="1:9" x14ac:dyDescent="0.35">
      <c r="A82" s="123"/>
      <c r="B82" s="123" t="s">
        <v>178</v>
      </c>
      <c r="H82" s="121">
        <f>ROUND('Fund &amp; Member Details'!G52+'Fund &amp; Member Details'!G63,0)</f>
        <v>0</v>
      </c>
    </row>
    <row r="83" spans="1:9" x14ac:dyDescent="0.35">
      <c r="A83" s="123"/>
      <c r="B83" s="123" t="s">
        <v>65</v>
      </c>
      <c r="H83" s="121">
        <f>ROUND('Fund &amp; Member Details'!G53+'Fund &amp; Member Details'!G65,)</f>
        <v>0</v>
      </c>
    </row>
    <row r="84" spans="1:9" x14ac:dyDescent="0.35">
      <c r="A84" s="123"/>
      <c r="B84" s="123" t="s">
        <v>66</v>
      </c>
      <c r="H84" s="121">
        <f>ROUND('Fund &amp; Member Details'!G50+'Fund &amp; Member Details'!G64,0)</f>
        <v>0</v>
      </c>
    </row>
    <row r="86" spans="1:9" x14ac:dyDescent="0.35">
      <c r="A86" s="23"/>
      <c r="B86" s="23" t="s">
        <v>374</v>
      </c>
      <c r="H86" s="121">
        <f>ROUND('Fund &amp; Member Details'!G75,0)</f>
        <v>0</v>
      </c>
    </row>
    <row r="87" spans="1:9" x14ac:dyDescent="0.35">
      <c r="A87" s="23"/>
      <c r="B87" s="122" t="s">
        <v>220</v>
      </c>
    </row>
    <row r="88" spans="1:9" x14ac:dyDescent="0.35">
      <c r="A88" s="23"/>
      <c r="B88" s="23" t="s">
        <v>293</v>
      </c>
      <c r="G88" s="121">
        <f>ROUND('Fund &amp; Member Details'!G54,0)</f>
        <v>0</v>
      </c>
    </row>
    <row r="89" spans="1:9" x14ac:dyDescent="0.35">
      <c r="A89" s="23"/>
      <c r="B89" s="23" t="s">
        <v>292</v>
      </c>
      <c r="G89" s="121">
        <f>ROUND('Fund &amp; Member Details'!G66,0)</f>
        <v>0</v>
      </c>
    </row>
    <row r="91" spans="1:9" x14ac:dyDescent="0.35">
      <c r="B91" t="str">
        <f>Check!B23</f>
        <v>The value of segregated current pension assets held at 30/06/26:</v>
      </c>
      <c r="H91" s="149">
        <f>IF('Fund &amp; Member Details'!B33&lt;&gt;"Y",Check!B24,"check")</f>
        <v>0</v>
      </c>
      <c r="I91" s="148"/>
    </row>
    <row r="92" spans="1:9" x14ac:dyDescent="0.35">
      <c r="B92" s="23" t="s">
        <v>378</v>
      </c>
      <c r="H92" s="149">
        <f>Check!B25</f>
        <v>0</v>
      </c>
      <c r="I92" s="148"/>
    </row>
    <row r="93" spans="1:9" x14ac:dyDescent="0.35">
      <c r="B93" s="23" t="s">
        <v>375</v>
      </c>
      <c r="H93" s="149">
        <f>Check!B26</f>
        <v>0</v>
      </c>
      <c r="I93" s="148"/>
    </row>
    <row r="94" spans="1:9" x14ac:dyDescent="0.35">
      <c r="A94" s="23"/>
      <c r="B94" s="23" t="s">
        <v>222</v>
      </c>
      <c r="G94" s="23"/>
    </row>
    <row r="95" spans="1:9" x14ac:dyDescent="0.35">
      <c r="A95" s="23"/>
      <c r="B95" s="23" t="s">
        <v>295</v>
      </c>
    </row>
    <row r="96" spans="1:9" x14ac:dyDescent="0.35">
      <c r="A96" s="23"/>
      <c r="B96" s="23" t="s">
        <v>294</v>
      </c>
      <c r="G96" s="23"/>
    </row>
    <row r="97" spans="1:9" x14ac:dyDescent="0.35">
      <c r="A97" s="23"/>
      <c r="B97" s="23" t="s">
        <v>328</v>
      </c>
      <c r="G97" s="23"/>
    </row>
    <row r="98" spans="1:9" x14ac:dyDescent="0.35">
      <c r="B98" s="23" t="str">
        <f>Check!B27</f>
        <v>There were no unallocated reserves during the year.</v>
      </c>
    </row>
    <row r="100" spans="1:9" x14ac:dyDescent="0.35">
      <c r="A100" s="23" t="str">
        <f>CONCATENATE(IF('Fund &amp; Member Details'!B13&lt;&gt;"",'Fund &amp; Member Details'!B13,'Fund &amp; Member Details'!B12)," confirms:")</f>
        <v xml:space="preserve"> confirms:</v>
      </c>
    </row>
    <row r="101" spans="1:9" x14ac:dyDescent="0.35">
      <c r="A101" s="23"/>
      <c r="B101" s="23" t="s">
        <v>315</v>
      </c>
    </row>
    <row r="102" spans="1:9" x14ac:dyDescent="0.35">
      <c r="A102" s="23"/>
      <c r="B102" s="23" t="s">
        <v>326</v>
      </c>
    </row>
    <row r="103" spans="1:9" x14ac:dyDescent="0.35">
      <c r="A103" s="23"/>
      <c r="B103" s="23" t="s">
        <v>327</v>
      </c>
    </row>
    <row r="104" spans="1:9" x14ac:dyDescent="0.35">
      <c r="A104" s="23"/>
      <c r="B104" s="23" t="str">
        <f>Check!C11</f>
        <v>(c) the pensions provided throughout the year met the payment standards under SIS.</v>
      </c>
    </row>
    <row r="105" spans="1:9" x14ac:dyDescent="0.35">
      <c r="A105" s="23"/>
      <c r="B105" s="23"/>
    </row>
    <row r="106" spans="1:9" x14ac:dyDescent="0.35">
      <c r="A106" s="158" t="str">
        <f>Check!B80</f>
        <v>There were no segregated current pension assets and no segregated non-current pension assets held at any time during the year .</v>
      </c>
      <c r="B106" s="158"/>
      <c r="C106" s="158"/>
      <c r="D106" s="158"/>
      <c r="E106" s="158"/>
      <c r="F106" s="158"/>
      <c r="G106" s="158"/>
      <c r="H106" s="158"/>
      <c r="I106" s="158"/>
    </row>
    <row r="107" spans="1:9" x14ac:dyDescent="0.35">
      <c r="A107" s="158"/>
      <c r="B107" s="158"/>
      <c r="C107" s="158"/>
      <c r="D107" s="158"/>
      <c r="E107" s="158"/>
      <c r="F107" s="158"/>
      <c r="G107" s="158"/>
      <c r="H107" s="158"/>
      <c r="I107" s="158"/>
    </row>
    <row r="108" spans="1:9" x14ac:dyDescent="0.35">
      <c r="C108" t="str">
        <f>Check!B73</f>
        <v/>
      </c>
      <c r="F108" t="str">
        <f>Check!B74</f>
        <v/>
      </c>
    </row>
    <row r="109" spans="1:9" x14ac:dyDescent="0.35">
      <c r="C109" s="23" t="str">
        <f>IF('Percentage Calc'!D397&gt;2,'Percentage Calc'!E400,"")</f>
        <v/>
      </c>
      <c r="F109" t="str">
        <f>'Percentage Calc'!E405</f>
        <v/>
      </c>
    </row>
    <row r="110" spans="1:9" x14ac:dyDescent="0.35">
      <c r="C110" t="str">
        <f>IF('Percentage Calc'!D397&gt;2,'Percentage Calc'!E401,"")</f>
        <v/>
      </c>
      <c r="F110" t="str">
        <f>'Percentage Calc'!E406</f>
        <v/>
      </c>
    </row>
    <row r="111" spans="1:9" x14ac:dyDescent="0.35">
      <c r="C111" t="str">
        <f>'Percentage Calc'!E402</f>
        <v/>
      </c>
      <c r="F111" t="str">
        <f>'Percentage Calc'!E407</f>
        <v/>
      </c>
    </row>
    <row r="112" spans="1:9" x14ac:dyDescent="0.35">
      <c r="C112" t="str">
        <f>'Percentage Calc'!E403</f>
        <v/>
      </c>
      <c r="F112" t="str">
        <f>'Percentage Calc'!E408</f>
        <v/>
      </c>
    </row>
    <row r="113" spans="1:9" x14ac:dyDescent="0.35">
      <c r="C113" t="str">
        <f>'Percentage Calc'!E404</f>
        <v/>
      </c>
      <c r="F113" t="str">
        <f>'Percentage Calc'!E409</f>
        <v/>
      </c>
    </row>
    <row r="114" spans="1:9" x14ac:dyDescent="0.35">
      <c r="A114" s="185" t="str">
        <f>IF(UPPER('Fund &amp; Member Details'!B34)&lt;&gt;"N",CONCATENATE("In addition, ",IF('Fund &amp; Member Details'!B13&lt;&gt;"",'Fund &amp; Member Details'!B13,'Fund &amp; Member Details'!B12)," confirms that despite not meeting the pension payment standards on a cash basis, the pension shortfall payment in respect of the 2026 year met the following conditions in relation to ATO general powers of administration:"),"")</f>
        <v/>
      </c>
      <c r="B114" s="185"/>
      <c r="C114" s="185"/>
      <c r="D114" s="185"/>
      <c r="E114" s="185"/>
      <c r="F114" s="185"/>
      <c r="G114" s="185"/>
      <c r="H114" s="185"/>
      <c r="I114" s="185"/>
    </row>
    <row r="115" spans="1:9" x14ac:dyDescent="0.35">
      <c r="A115" s="185"/>
      <c r="B115" s="185"/>
      <c r="C115" s="185"/>
      <c r="D115" s="185"/>
      <c r="E115" s="185"/>
      <c r="F115" s="185"/>
      <c r="G115" s="185"/>
      <c r="H115" s="185"/>
      <c r="I115" s="185"/>
    </row>
    <row r="116" spans="1:9" x14ac:dyDescent="0.35">
      <c r="A116" s="185"/>
      <c r="B116" s="185"/>
      <c r="C116" s="185"/>
      <c r="D116" s="185"/>
      <c r="E116" s="185"/>
      <c r="F116" s="185"/>
      <c r="G116" s="185"/>
      <c r="H116" s="185"/>
      <c r="I116" s="185"/>
    </row>
    <row r="117" spans="1:9" x14ac:dyDescent="0.35">
      <c r="A117" s="140"/>
      <c r="B117" t="str">
        <f>IF(UPPER('Fund &amp; Member Details'!$B$34)&lt;&gt;"N","(a) was the result of an honest mistake;","")</f>
        <v/>
      </c>
      <c r="C117" s="140"/>
      <c r="D117" s="140"/>
      <c r="E117" s="140"/>
      <c r="F117" s="140"/>
      <c r="G117" s="140"/>
      <c r="H117" s="140"/>
      <c r="I117" s="140"/>
    </row>
    <row r="118" spans="1:9" x14ac:dyDescent="0.35">
      <c r="A118" s="140"/>
      <c r="B118" t="str">
        <f>IF(UPPER('Fund &amp; Member Details'!$B$34)&lt;&gt;"N","(b) was less than 1/12th of the minimum annual payment;","")</f>
        <v/>
      </c>
      <c r="C118" s="140"/>
      <c r="D118" s="140"/>
      <c r="E118" s="140"/>
      <c r="F118" s="140"/>
      <c r="G118" s="140"/>
      <c r="H118" s="140"/>
      <c r="I118" s="140"/>
    </row>
    <row r="119" spans="1:9" x14ac:dyDescent="0.35">
      <c r="B119" t="str">
        <f>IF(UPPER('Fund &amp; Member Details'!$B$34)&lt;&gt;"N","(c) the fund has always met the minimum payment conditions in the past; and","")</f>
        <v/>
      </c>
      <c r="F119" s="124"/>
      <c r="G119" s="23"/>
    </row>
    <row r="120" spans="1:9" x14ac:dyDescent="0.35">
      <c r="B120" t="str">
        <f>IF(UPPER('Fund &amp; Member Details'!$B$34)&lt;&gt;"N","(d) the catchup payment was made as soon as practicable.","")</f>
        <v/>
      </c>
      <c r="F120" s="124"/>
      <c r="G120" s="23"/>
    </row>
    <row r="121" spans="1:9" x14ac:dyDescent="0.35">
      <c r="A121" s="188">
        <f>A53</f>
        <v>46204</v>
      </c>
      <c r="B121" s="189"/>
      <c r="C121" s="189"/>
    </row>
    <row r="122" spans="1:9" ht="17.649999999999999" x14ac:dyDescent="0.5">
      <c r="A122" s="127" t="s">
        <v>271</v>
      </c>
      <c r="B122" s="125"/>
      <c r="C122" s="125"/>
      <c r="D122" s="125"/>
      <c r="E122" s="125"/>
      <c r="F122" s="125"/>
      <c r="G122" s="125"/>
      <c r="H122" s="125"/>
      <c r="I122" s="126" t="s">
        <v>225</v>
      </c>
    </row>
  </sheetData>
  <sheetProtection algorithmName="SHA-512" hashValue="6n1w/mfEX4mFk2mQppR/h3J1XFX1xHyBLjUQQfQmLXkhGGBzWOd+XYIBJ/0Si2+/sqsUnS2hkg9QUs1jonGiWg==" saltValue="JuM0WFtKNV1F9xv5cREvxA==" spinCount="100000" sheet="1" objects="1" scenarios="1"/>
  <mergeCells count="24">
    <mergeCell ref="A121:C121"/>
    <mergeCell ref="A66:I66"/>
    <mergeCell ref="A64:I64"/>
    <mergeCell ref="A32:I33"/>
    <mergeCell ref="A114:I116"/>
    <mergeCell ref="A62:I62"/>
    <mergeCell ref="A63:I63"/>
    <mergeCell ref="A70:B70"/>
    <mergeCell ref="A106:I107"/>
    <mergeCell ref="A1:I1"/>
    <mergeCell ref="A2:I2"/>
    <mergeCell ref="A25:I26"/>
    <mergeCell ref="A7:I7"/>
    <mergeCell ref="A58:I58"/>
    <mergeCell ref="A4:I4"/>
    <mergeCell ref="A56:I56"/>
    <mergeCell ref="A35:I39"/>
    <mergeCell ref="A19:I23"/>
    <mergeCell ref="A5:I5"/>
    <mergeCell ref="A6:I6"/>
    <mergeCell ref="A14:I17"/>
    <mergeCell ref="A11:I12"/>
    <mergeCell ref="A57:I57"/>
    <mergeCell ref="A53:C53"/>
  </mergeCells>
  <phoneticPr fontId="5" type="noConversion"/>
  <pageMargins left="0.74803149606299213" right="0.74803149606299213" top="0.31496062992125984" bottom="0.23622047244094488" header="0.15748031496062992"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87"/>
  <sheetViews>
    <sheetView zoomScaleNormal="100" workbookViewId="0">
      <selection activeCell="D7" sqref="D7"/>
    </sheetView>
  </sheetViews>
  <sheetFormatPr defaultRowHeight="12.75" x14ac:dyDescent="0.35"/>
  <cols>
    <col min="1" max="1" width="45.59765625" customWidth="1"/>
    <col min="2" max="2" width="11.19921875" customWidth="1"/>
    <col min="4" max="4" width="23.265625" customWidth="1"/>
  </cols>
  <sheetData>
    <row r="1" spans="1:13" ht="15" x14ac:dyDescent="0.4">
      <c r="A1" s="110" t="s">
        <v>85</v>
      </c>
    </row>
    <row r="2" spans="1:13" ht="13.15" x14ac:dyDescent="0.4">
      <c r="A2" s="1" t="s">
        <v>87</v>
      </c>
    </row>
    <row r="3" spans="1:13" x14ac:dyDescent="0.35">
      <c r="A3" s="23" t="s">
        <v>86</v>
      </c>
      <c r="D3" s="41" t="str">
        <f>IF('Fund &amp; Member Details'!B22&lt;&gt;"","","s")</f>
        <v>s</v>
      </c>
      <c r="E3" s="23" t="s">
        <v>89</v>
      </c>
    </row>
    <row r="4" spans="1:13" x14ac:dyDescent="0.35">
      <c r="A4" s="23" t="s">
        <v>337</v>
      </c>
      <c r="D4" s="41" t="str">
        <f>IF('Fund &amp; Member Details'!B27&lt;&gt;"",CONCATENATE(PROPER('Fund &amp; Member Details'!B24), ", ",PROPER('Fund &amp; Member Details'!B25), ", ",PROPER('Fund &amp; Member Details'!B26), " and ",PROPER('Fund &amp; Member Details'!B27)),IF('Fund &amp; Member Details'!B26&lt;&gt;"",CONCATENATE(PROPER('Fund &amp; Member Details'!B24), ", ",PROPER('Fund &amp; Member Details'!B25), " and ",PROPER('Fund &amp; Member Details'!B26)),CONCATENATE(PROPER('Fund &amp; Member Details'!B24), " and ",PROPER('Fund &amp; Member Details'!B25))))</f>
        <v xml:space="preserve"> and </v>
      </c>
      <c r="J4" s="23"/>
    </row>
    <row r="5" spans="1:13" x14ac:dyDescent="0.35">
      <c r="A5" s="23" t="s">
        <v>88</v>
      </c>
      <c r="D5" s="142" t="str">
        <f>IF('Fund &amp; Member Details'!B22&lt;&gt;"",PROPER('Fund &amp; Member Details'!B22),Check!D4)</f>
        <v xml:space="preserve"> and </v>
      </c>
    </row>
    <row r="6" spans="1:13" x14ac:dyDescent="0.35">
      <c r="A6" s="23" t="s">
        <v>91</v>
      </c>
      <c r="D6" s="34" t="str">
        <f>CONCATENATE('Fund &amp; Member Details'!B12,IF('Fund &amp; Member Details'!B13&lt;&gt;""," of ",""),IF('Fund &amp; Member Details'!B13&lt;&gt;"",'Fund &amp; Member Details'!B13,""))</f>
        <v/>
      </c>
    </row>
    <row r="7" spans="1:13" ht="13.15" x14ac:dyDescent="0.4">
      <c r="A7" s="23" t="s">
        <v>43</v>
      </c>
      <c r="D7" s="141">
        <v>46204</v>
      </c>
      <c r="E7" s="35" t="str">
        <f ca="1">IF(D7&lt;TODAY(),"CHECK DATE","")</f>
        <v/>
      </c>
      <c r="F7" s="23"/>
      <c r="G7" s="23"/>
      <c r="H7" s="23" t="s">
        <v>92</v>
      </c>
    </row>
    <row r="8" spans="1:13" x14ac:dyDescent="0.35">
      <c r="A8" s="23" t="s">
        <v>46</v>
      </c>
      <c r="D8" s="23" t="str">
        <f>IF(L8&lt;2,"single pensioner","more than one pensioner")</f>
        <v>single pensioner</v>
      </c>
      <c r="E8" s="41" t="str">
        <f>IF(L8&lt;2,"is","are")</f>
        <v>is</v>
      </c>
      <c r="F8" s="41" t="str">
        <f>IF(L8&lt;2,"","s")</f>
        <v/>
      </c>
      <c r="G8" s="41"/>
      <c r="H8" s="23" t="s">
        <v>93</v>
      </c>
      <c r="L8" s="41">
        <f>COUNTIF('Fund &amp; Member Details'!B50:E50,"&lt;0")</f>
        <v>0</v>
      </c>
      <c r="M8" s="23" t="s">
        <v>280</v>
      </c>
    </row>
    <row r="9" spans="1:13" x14ac:dyDescent="0.35">
      <c r="A9" s="23" t="s">
        <v>231</v>
      </c>
      <c r="D9" s="139" t="str">
        <f>IF('Fund &amp; Member Details'!B30="Y","Terminated Client - Review End Book Values and Certificate Wording &amp; line spacing on the certificate'","OK")</f>
        <v>OK</v>
      </c>
      <c r="F9" s="23"/>
      <c r="G9" s="23"/>
      <c r="H9" s="23"/>
    </row>
    <row r="10" spans="1:13" x14ac:dyDescent="0.35">
      <c r="A10" s="23" t="s">
        <v>349</v>
      </c>
      <c r="D10" s="41" t="str">
        <f>IF(ISERROR(B39),"Error in data - send to PBA Super for checking",IF((B37+B38)&gt;0,"Data needs to reviewed by Actuary",""))</f>
        <v/>
      </c>
      <c r="F10" s="23"/>
      <c r="G10" s="23"/>
      <c r="H10" s="23" t="s">
        <v>284</v>
      </c>
    </row>
    <row r="11" spans="1:13" x14ac:dyDescent="0.35">
      <c r="A11" s="23" t="s">
        <v>243</v>
      </c>
      <c r="B11" s="129" t="str">
        <f>IF(UPPER('Fund &amp; Member Details'!B34)="N","Y","N")</f>
        <v>Y</v>
      </c>
      <c r="C11" s="34" t="str">
        <f>IF(UPPER(B11)="Y","(c) the pensions provided throughout the year met the payment standards under SIS.","(c) the pension provided throughout the year did not meet the payment standards under SIS.")</f>
        <v>(c) the pensions provided throughout the year met the payment standards under SIS.</v>
      </c>
      <c r="D11" s="129"/>
      <c r="E11" s="129"/>
      <c r="F11" s="129"/>
      <c r="G11" s="129"/>
      <c r="H11" s="129"/>
      <c r="I11" s="129"/>
    </row>
    <row r="12" spans="1:13" x14ac:dyDescent="0.35">
      <c r="A12" s="23" t="s">
        <v>275</v>
      </c>
      <c r="C12" s="139" t="str">
        <f>IF((B37+B38)&lt;1,"Totals OK","Check Percentages")</f>
        <v>Totals OK</v>
      </c>
      <c r="F12" s="23"/>
      <c r="G12" s="23"/>
    </row>
    <row r="13" spans="1:13" x14ac:dyDescent="0.35">
      <c r="A13" s="23" t="s">
        <v>316</v>
      </c>
      <c r="C13" s="139" t="str">
        <f>IF(UPPER('Fund &amp; Member Details'!B34)&lt;&gt;"N","Shortfall Payment - requires checking and reformating of certificate by 2 lines x 2","OK")</f>
        <v>OK</v>
      </c>
      <c r="F13" s="23"/>
      <c r="G13" s="23"/>
    </row>
    <row r="14" spans="1:13" x14ac:dyDescent="0.35">
      <c r="A14" s="23" t="s">
        <v>317</v>
      </c>
      <c r="C14" s="139" t="str">
        <f>IF(('Fund &amp; Member Details'!G59+'Fund &amp; Member Details'!G60)&lt;0.01,"check segregation dates",IF('Percentage Calc'!D379&gt;1,"check segregation datas",""))</f>
        <v>check segregation dates</v>
      </c>
      <c r="F14" s="23"/>
      <c r="G14" s="23"/>
    </row>
    <row r="15" spans="1:13" x14ac:dyDescent="0.35">
      <c r="A15" s="23" t="s">
        <v>333</v>
      </c>
      <c r="C15" s="139" t="str">
        <f>IF(MIN('Percentage Calc'!R15:R379)&lt;0,"check non-RP balances during the year","OK")</f>
        <v>OK</v>
      </c>
      <c r="F15" s="23"/>
      <c r="G15" s="23"/>
    </row>
    <row r="16" spans="1:13" x14ac:dyDescent="0.35">
      <c r="A16" s="23" t="s">
        <v>361</v>
      </c>
      <c r="B16" s="23"/>
      <c r="C16" s="153" t="str">
        <f>IF('Fund &amp; Member Details'!A90="",IF(Transactions!A63="",IF(Transactions!I63="","","Check Wording in Notes 2 Section of Transaction Sheet"),"Check Wording in Notes 1 Section of Transaction Sheet"),"Check Wording in Notes Section of Fund n Member Details Sheet")</f>
        <v/>
      </c>
      <c r="F16" s="23"/>
      <c r="G16" s="23"/>
    </row>
    <row r="17" spans="1:12" x14ac:dyDescent="0.35">
      <c r="A17" s="23" t="s">
        <v>281</v>
      </c>
      <c r="B17" s="194" t="str">
        <f>CONCATENATE("The certificate is based on Fund data supplied and the fact that the pensioner",F8," concerned ",E8," being paid ",IF(L8&lt;2,"a ",""),"retirement phase (account-based, allocated and/or market-linked) pension",F8,IF(UPPER('Fund &amp; Member Details'!B34)="N"," which, in any one tax year, must remain between the legislated minima and maxima.","."))</f>
        <v>The certificate is based on Fund data supplied and the fact that the pensioner concerned is being paid a retirement phase (account-based, allocated and/or market-linked) pension which, in any one tax year, must remain between the legislated minima and maxima.</v>
      </c>
      <c r="C17" s="158"/>
      <c r="D17" s="158"/>
      <c r="E17" s="158"/>
      <c r="F17" s="158"/>
      <c r="G17" s="158"/>
      <c r="H17" s="158"/>
      <c r="I17" s="158"/>
      <c r="J17" s="158"/>
      <c r="K17" s="158"/>
      <c r="L17" s="158"/>
    </row>
    <row r="18" spans="1:12" x14ac:dyDescent="0.35">
      <c r="A18" s="139"/>
      <c r="B18" s="158"/>
      <c r="C18" s="158"/>
      <c r="D18" s="158"/>
      <c r="E18" s="158"/>
      <c r="F18" s="158"/>
      <c r="G18" s="158"/>
      <c r="H18" s="158"/>
      <c r="I18" s="158"/>
      <c r="J18" s="158"/>
      <c r="K18" s="158"/>
      <c r="L18" s="158"/>
    </row>
    <row r="19" spans="1:12" x14ac:dyDescent="0.35">
      <c r="A19" s="139"/>
      <c r="B19" s="23"/>
      <c r="C19" s="139"/>
      <c r="F19" s="23"/>
      <c r="G19" s="23"/>
    </row>
    <row r="20" spans="1:12" ht="12.75" customHeight="1" x14ac:dyDescent="0.35">
      <c r="A20" s="23" t="s">
        <v>282</v>
      </c>
      <c r="B20" s="194" t="str">
        <f>IF(UPPER('Fund &amp; Member Details'!B34)="Y",A62,"")</f>
        <v/>
      </c>
      <c r="C20" s="158"/>
      <c r="D20" s="158"/>
      <c r="E20" s="158"/>
      <c r="F20" s="158"/>
      <c r="G20" s="158"/>
      <c r="H20" s="158"/>
      <c r="I20" s="158"/>
      <c r="J20" s="158"/>
      <c r="K20" s="158"/>
      <c r="L20" s="158"/>
    </row>
    <row r="21" spans="1:12" x14ac:dyDescent="0.35">
      <c r="A21" s="23" t="s">
        <v>273</v>
      </c>
      <c r="B21" s="158"/>
      <c r="C21" s="158"/>
      <c r="D21" s="158"/>
      <c r="E21" s="158"/>
      <c r="F21" s="158"/>
      <c r="G21" s="158"/>
      <c r="H21" s="158"/>
      <c r="I21" s="158"/>
      <c r="J21" s="158"/>
      <c r="K21" s="158"/>
      <c r="L21" s="158"/>
    </row>
    <row r="22" spans="1:12" x14ac:dyDescent="0.35">
      <c r="A22" s="23"/>
      <c r="C22" s="139"/>
      <c r="F22" s="23"/>
      <c r="G22" s="23"/>
    </row>
    <row r="23" spans="1:12" x14ac:dyDescent="0.35">
      <c r="A23" s="23" t="s">
        <v>348</v>
      </c>
      <c r="B23" s="34" t="str">
        <f>IF(UPPER('Fund &amp; Member Details'!B33)&lt;&gt;"Y","The value of segregated current pension assets held at 30/06/26:","Segregated current pension assets held during the year have been excluded from the calculations in this certificate.")</f>
        <v>The value of segregated current pension assets held at 30/06/26:</v>
      </c>
      <c r="C23" s="34"/>
      <c r="D23" s="34"/>
      <c r="E23" s="34"/>
      <c r="F23" s="34"/>
      <c r="G23" s="34"/>
      <c r="H23" s="34"/>
      <c r="I23" s="34"/>
      <c r="J23" s="34"/>
      <c r="K23" s="34"/>
      <c r="L23" s="34"/>
    </row>
    <row r="24" spans="1:12" x14ac:dyDescent="0.35">
      <c r="A24" s="23" t="s">
        <v>329</v>
      </c>
      <c r="B24" s="121">
        <f>ROUND(IF('Fund &amp; Member Details'!G66&lt;0.1,'Fund &amp; Member Details'!G54,0),0)</f>
        <v>0</v>
      </c>
      <c r="C24" s="139"/>
      <c r="F24" s="23"/>
      <c r="G24" s="23"/>
    </row>
    <row r="25" spans="1:12" x14ac:dyDescent="0.35">
      <c r="A25" s="23" t="s">
        <v>330</v>
      </c>
      <c r="B25" s="121">
        <f>ROUND(Certificate!G88-Check!B24,0)</f>
        <v>0</v>
      </c>
      <c r="C25" s="139"/>
      <c r="F25" s="23"/>
      <c r="G25" s="23"/>
    </row>
    <row r="26" spans="1:12" x14ac:dyDescent="0.35">
      <c r="A26" s="23" t="s">
        <v>331</v>
      </c>
      <c r="B26" s="121">
        <f>ROUND(Certificate!H86-Check!B24,0)</f>
        <v>0</v>
      </c>
      <c r="C26" s="139"/>
      <c r="F26" s="23"/>
      <c r="G26" s="23"/>
    </row>
    <row r="27" spans="1:12" x14ac:dyDescent="0.35">
      <c r="A27" s="23" t="s">
        <v>283</v>
      </c>
      <c r="B27" s="34" t="str">
        <f>IF(SUM('Fund &amp; Member Details'!F59:F62)=0,"There were no unallocated reserves during the year.","Unallocated Reserves are included in the Other Member Balances above.")</f>
        <v>There were no unallocated reserves during the year.</v>
      </c>
      <c r="C27" s="34"/>
      <c r="D27" s="34"/>
      <c r="E27" s="34"/>
      <c r="F27" s="34"/>
      <c r="G27" s="34"/>
    </row>
    <row r="28" spans="1:12" x14ac:dyDescent="0.35">
      <c r="A28" s="23"/>
      <c r="C28" s="139"/>
      <c r="F28" s="23"/>
      <c r="G28" s="23"/>
    </row>
    <row r="29" spans="1:12" x14ac:dyDescent="0.35">
      <c r="A29" s="23" t="s">
        <v>347</v>
      </c>
      <c r="B29" s="55" t="str">
        <f>IF(UPPER('Fund &amp; Member Details'!B33)="Y", "Rare occurrence - please provide full details in covering email or attachment.","")</f>
        <v/>
      </c>
      <c r="C29" s="139"/>
      <c r="F29" s="23"/>
      <c r="G29" s="23"/>
    </row>
    <row r="30" spans="1:12" x14ac:dyDescent="0.35">
      <c r="A30" s="23" t="s">
        <v>318</v>
      </c>
      <c r="B30" s="41" t="str">
        <f>IF(ABS(('Fund &amp; Member Details'!B29-'Fund &amp; Member Details'!G74))&lt;11,"",CONCATENATE("WARNING SUM OF OPENING BALANCES DIFFERS FROM OPENING NET FUND ASSETS OF $",'Fund &amp; Member Details'!B29, " SHOWN ABOVE"))</f>
        <v/>
      </c>
      <c r="C30" s="139"/>
      <c r="F30" s="23"/>
      <c r="G30" s="23"/>
    </row>
    <row r="31" spans="1:12" x14ac:dyDescent="0.35">
      <c r="A31" s="23" t="s">
        <v>180</v>
      </c>
      <c r="F31" s="23"/>
      <c r="G31" s="23"/>
    </row>
    <row r="32" spans="1:12" x14ac:dyDescent="0.35">
      <c r="A32" s="54" t="s">
        <v>244</v>
      </c>
      <c r="B32" s="54">
        <f>COUNTIF(Transactions!A16:A46,"TO")</f>
        <v>0</v>
      </c>
      <c r="C32" s="23" t="s">
        <v>230</v>
      </c>
      <c r="E32" s="23" t="s">
        <v>251</v>
      </c>
      <c r="F32" s="23"/>
      <c r="G32" s="23"/>
    </row>
    <row r="33" spans="1:7" x14ac:dyDescent="0.35">
      <c r="A33" s="54" t="s">
        <v>245</v>
      </c>
      <c r="B33" s="54">
        <f>COUNTIF(Transactions!I16:I46,"TO")</f>
        <v>0</v>
      </c>
      <c r="C33" s="23"/>
      <c r="E33" s="23" t="s">
        <v>274</v>
      </c>
      <c r="F33" s="23"/>
      <c r="G33" s="23"/>
    </row>
    <row r="34" spans="1:7" x14ac:dyDescent="0.35">
      <c r="A34" s="54" t="s">
        <v>79</v>
      </c>
      <c r="B34" s="54">
        <f>B33+B32</f>
        <v>0</v>
      </c>
      <c r="C34" s="23"/>
      <c r="E34" s="23" t="s">
        <v>250</v>
      </c>
      <c r="F34" s="23"/>
      <c r="G34" s="23"/>
    </row>
    <row r="35" spans="1:7" x14ac:dyDescent="0.35">
      <c r="A35" s="54" t="s">
        <v>198</v>
      </c>
      <c r="B35">
        <f>IF(UPPER('Fund &amp; Member Details'!G79)&lt;&gt;"Y",1,0)</f>
        <v>1</v>
      </c>
      <c r="C35" s="23" t="s">
        <v>229</v>
      </c>
      <c r="F35" s="23"/>
      <c r="G35" s="23"/>
    </row>
    <row r="36" spans="1:7" x14ac:dyDescent="0.35">
      <c r="A36" s="54" t="s">
        <v>201</v>
      </c>
      <c r="B36">
        <f>IF(UPPER('Fund &amp; Member Details'!B30)&lt;&gt;"N",1,0)</f>
        <v>0</v>
      </c>
      <c r="C36" s="23" t="s">
        <v>229</v>
      </c>
      <c r="F36" s="23"/>
      <c r="G36" s="23"/>
    </row>
    <row r="37" spans="1:7" x14ac:dyDescent="0.35">
      <c r="A37" s="54" t="s">
        <v>270</v>
      </c>
      <c r="B37" s="23">
        <f>IF('Percentage Calc'!D392&gt;100,1,IF('Percentage Calc'!D392&lt;0,2,0))</f>
        <v>0</v>
      </c>
      <c r="C37" s="23" t="s">
        <v>229</v>
      </c>
      <c r="F37" s="23"/>
      <c r="G37" s="23"/>
    </row>
    <row r="38" spans="1:7" x14ac:dyDescent="0.35">
      <c r="A38" s="54" t="s">
        <v>319</v>
      </c>
      <c r="B38" s="23">
        <f>IF('Fund &amp; Member Details'!B33&lt;&gt;"N",1,0)</f>
        <v>0</v>
      </c>
      <c r="C38" s="23" t="s">
        <v>229</v>
      </c>
      <c r="D38" s="41"/>
      <c r="F38" s="23"/>
      <c r="G38" s="23"/>
    </row>
    <row r="39" spans="1:7" x14ac:dyDescent="0.35">
      <c r="A39" s="23"/>
      <c r="B39" s="23">
        <f>SUM(B35:B38)</f>
        <v>1</v>
      </c>
      <c r="C39" s="23" t="s">
        <v>350</v>
      </c>
      <c r="F39" s="23"/>
      <c r="G39" s="23"/>
    </row>
    <row r="40" spans="1:7" ht="13.15" x14ac:dyDescent="0.4">
      <c r="A40" s="1" t="s">
        <v>268</v>
      </c>
      <c r="B40" s="23"/>
      <c r="C40" s="23"/>
      <c r="F40" s="23"/>
      <c r="G40" s="23"/>
    </row>
    <row r="41" spans="1:7" x14ac:dyDescent="0.35">
      <c r="A41" s="23" t="s">
        <v>351</v>
      </c>
      <c r="B41" s="41" t="str">
        <f>IF(Check!B34&gt;0,"Transfer Outs - needs to be reviewed by the Actuary","")</f>
        <v/>
      </c>
      <c r="C41" s="23"/>
      <c r="F41" s="23"/>
      <c r="G41" s="23"/>
    </row>
    <row r="42" spans="1:7" x14ac:dyDescent="0.35">
      <c r="A42" s="23" t="s">
        <v>352</v>
      </c>
      <c r="B42" s="41" t="str">
        <f>IF(UPPER('Fund &amp; Member Details'!B30)&lt;&gt;"N","Terminated Fund - needs to be reviewed by the Actuary","")</f>
        <v/>
      </c>
      <c r="C42" s="23"/>
      <c r="F42" s="23"/>
      <c r="G42" s="23"/>
    </row>
    <row r="43" spans="1:7" x14ac:dyDescent="0.35">
      <c r="A43" s="23" t="s">
        <v>353</v>
      </c>
      <c r="B43" s="41" t="str">
        <f>IF('Fund &amp; Member Details'!G50&gt;0,"Pension Payments are debits and therefore should be negative - please alter the Transaction Sheet accordingly.","")</f>
        <v/>
      </c>
      <c r="C43" s="23"/>
      <c r="F43" s="23"/>
      <c r="G43" s="23"/>
    </row>
    <row r="44" spans="1:7" x14ac:dyDescent="0.35">
      <c r="A44" s="23" t="s">
        <v>278</v>
      </c>
      <c r="B44" s="41" t="str">
        <f>IF(Check!B34&gt;0,"For each account that has a transfer out please advise in the section below the amount of any remaining balance in account immediately after the transfer - otherwise it will be assumed to be a transfer of the entire account.","There were no transfer outs during the year and therefore no need to complete the following section relating to balances after transfer.")</f>
        <v>There were no transfer outs during the year and therefore no need to complete the following section relating to balances after transfer.</v>
      </c>
      <c r="C44" s="23"/>
      <c r="F44" s="23"/>
      <c r="G44" s="23"/>
    </row>
    <row r="45" spans="1:7" x14ac:dyDescent="0.35">
      <c r="A45" s="23" t="s">
        <v>277</v>
      </c>
      <c r="B45" s="41" t="str">
        <f>IF(B32&gt;0,"For Pension Accounts a full transfer out amount is generally the opening balance less pensions and withdrawals to date ie do not include revaluations or adjustments.","")</f>
        <v/>
      </c>
      <c r="C45" s="23"/>
      <c r="F45" s="23"/>
      <c r="G45" s="23"/>
    </row>
    <row r="46" spans="1:7" x14ac:dyDescent="0.35">
      <c r="A46" s="23" t="s">
        <v>279</v>
      </c>
      <c r="B46" s="41" t="str">
        <f>IF(B33&gt;0,"For Non-Pension Accounts a full transfer out amount is generally the opening balance plus contributions and rollovers less withdrawals to date ie do not include revaluations or adjustments.","")</f>
        <v/>
      </c>
      <c r="C46" s="23"/>
      <c r="F46" s="23"/>
      <c r="G46" s="23"/>
    </row>
    <row r="47" spans="1:7" x14ac:dyDescent="0.35">
      <c r="A47" s="23" t="s">
        <v>354</v>
      </c>
      <c r="B47" s="41" t="str">
        <f>IF('Fund &amp; Member Details'!G52&gt;0,"Transfer Outs are debits and therefore should be negative - please alter the Transaction Sheet accordingly.",B43)</f>
        <v/>
      </c>
      <c r="C47" s="23"/>
      <c r="F47" s="23"/>
      <c r="G47" s="23"/>
    </row>
    <row r="48" spans="1:7" x14ac:dyDescent="0.35">
      <c r="A48" s="23" t="s">
        <v>355</v>
      </c>
      <c r="B48" s="41" t="str">
        <f>IF('Fund &amp; Member Details'!G63&gt;0,"Transfer Outs are debits and therefore should be negative - please alter the Transaction Sheet accordingly.","")</f>
        <v/>
      </c>
      <c r="C48" s="23"/>
      <c r="F48" s="23"/>
      <c r="G48" s="23"/>
    </row>
    <row r="49" spans="1:7" x14ac:dyDescent="0.35">
      <c r="A49" s="23" t="s">
        <v>249</v>
      </c>
      <c r="B49" s="41"/>
      <c r="C49" s="23"/>
      <c r="F49" s="23"/>
      <c r="G49" s="23"/>
    </row>
    <row r="50" spans="1:7" x14ac:dyDescent="0.35">
      <c r="A50" s="23" t="s">
        <v>376</v>
      </c>
      <c r="B50" s="41" t="str">
        <f>IF(UPPER('Fund &amp; Member Details'!B34)="Y","-  Code shortfall pension payments made in 2026 year in respect of the 2025 year as Source PP without a date","")</f>
        <v/>
      </c>
      <c r="C50" s="23"/>
      <c r="F50" s="23"/>
      <c r="G50" s="23"/>
    </row>
    <row r="51" spans="1:7" x14ac:dyDescent="0.35">
      <c r="A51" s="23" t="s">
        <v>356</v>
      </c>
      <c r="B51" s="41" t="str">
        <f>IF(UPPER('Fund &amp; Member Details'!B34)="Y","Code 2026 shortfall payments made in the 2027 year as PP on the Transactions Sheet of this form but with no date &amp; don’t report these in the 2027 year request","")</f>
        <v/>
      </c>
      <c r="C51" s="23"/>
      <c r="F51" s="23"/>
      <c r="G51" s="23"/>
    </row>
    <row r="52" spans="1:7" x14ac:dyDescent="0.35">
      <c r="A52" s="23" t="s">
        <v>356</v>
      </c>
      <c r="B52" s="41" t="str">
        <f>IF(UPPER('Fund &amp; Member Details'!B34)="Y",IF('Fund &amp; Member Details'!B22&lt;&gt;"","Only applicable if Trustee has met the GPA standards issued by the ATO in relation to pension shortfall payments","Only applicable if Trustees have met the GPA standards issued by the ATO in relation to pension shortfall payments"),"")</f>
        <v/>
      </c>
      <c r="C52" s="23"/>
      <c r="F52" s="23"/>
      <c r="G52" s="23"/>
    </row>
    <row r="53" spans="1:7" x14ac:dyDescent="0.35">
      <c r="A53" s="23" t="s">
        <v>338</v>
      </c>
      <c r="B53" s="41" t="str">
        <f>IF('Fund &amp; Member Details'!G51&gt;0,"It would be helpful if the Purchase Price (Market Value) and Purchase Date of each pension purchased during the year was shown in the Optional ABPs sheet","")</f>
        <v/>
      </c>
      <c r="C53" s="23"/>
      <c r="F53" s="23"/>
      <c r="G53" s="23"/>
    </row>
    <row r="54" spans="1:7" x14ac:dyDescent="0.35">
      <c r="A54" s="23" t="s">
        <v>339</v>
      </c>
      <c r="B54" s="41" t="str">
        <f>IF(SUM(Transactions!D53:G58)+SUM(Transactions!L53:P58)&gt;0,"Exclude earnings, tax &amp; expenses from the remaining balance amount","")</f>
        <v/>
      </c>
      <c r="C54" s="23"/>
      <c r="F54" s="23"/>
      <c r="G54" s="23"/>
    </row>
    <row r="55" spans="1:7" x14ac:dyDescent="0.35">
      <c r="A55" s="23" t="s">
        <v>324</v>
      </c>
      <c r="B55" s="41" t="str">
        <f>IF(ABS(SUM('Fund &amp; Member Details'!G50:G53)-SUM(Transactions!D47:G47))&gt;0.019,"Missing Pension Account Source Code","")</f>
        <v/>
      </c>
      <c r="C55" s="23"/>
      <c r="F55" s="23"/>
      <c r="G55" s="23"/>
    </row>
    <row r="56" spans="1:7" x14ac:dyDescent="0.35">
      <c r="A56" s="23" t="s">
        <v>357</v>
      </c>
      <c r="B56" s="41" t="str">
        <f>IF(ABS(SUM('Fund &amp; Member Details'!G61:G65)-SUM(Transactions!L47:P47))&gt;0.019,"Missing Non-Pension Account Source Code","")</f>
        <v/>
      </c>
      <c r="C56" s="23"/>
      <c r="F56" s="23"/>
      <c r="G56" s="23"/>
    </row>
    <row r="57" spans="1:7" x14ac:dyDescent="0.35">
      <c r="A57" s="23"/>
      <c r="B57" s="41"/>
      <c r="C57" s="23"/>
      <c r="F57" s="23"/>
      <c r="G57" s="23"/>
    </row>
    <row r="58" spans="1:7" x14ac:dyDescent="0.35">
      <c r="A58" s="23" t="s">
        <v>377</v>
      </c>
      <c r="B58" s="41" t="str">
        <f>IF('Optional ABPs'!B8='Optional ABPs'!B11,B59,IF('Optional ABPs'!C8='Optional ABPs'!C11,B59,IF('Optional ABPs'!D8='Optional ABPs'!D11,B59,IF('Optional ABPs'!E8='Optional ABPs'!E11,B59,""))))</f>
        <v/>
      </c>
      <c r="C58" s="23"/>
      <c r="F58" s="23"/>
      <c r="G58" s="23"/>
    </row>
    <row r="59" spans="1:7" x14ac:dyDescent="0.35">
      <c r="A59" s="23" t="s">
        <v>269</v>
      </c>
      <c r="B59" s="23" t="s">
        <v>276</v>
      </c>
      <c r="C59" s="23"/>
      <c r="F59" s="23"/>
      <c r="G59" s="23"/>
    </row>
    <row r="60" spans="1:7" x14ac:dyDescent="0.35">
      <c r="A60" s="23"/>
      <c r="B60" s="23"/>
      <c r="C60" s="23"/>
      <c r="F60" s="23"/>
      <c r="G60" s="23"/>
    </row>
    <row r="61" spans="1:7" x14ac:dyDescent="0.35">
      <c r="A61" s="23" t="s">
        <v>286</v>
      </c>
      <c r="B61" s="23"/>
      <c r="C61" s="23"/>
      <c r="F61" s="23"/>
      <c r="G61" s="23"/>
    </row>
    <row r="62" spans="1:7" x14ac:dyDescent="0.35">
      <c r="A62" s="23" t="str">
        <f>CONCATENATE("In this case there is a pension shortfall of less than 1/12th of the minimum annual pension and I have been advised that the ",IF('Fund &amp; Member Details'!B22&lt;&gt;"","trustee will exercise its","trustees will exercise their")," rights under the ATO general powers of administration consistent with guidance issued by the ATO in January 2013.  ")</f>
        <v xml:space="preserve">In this case there is a pension shortfall of less than 1/12th of the minimum annual pension and I have been advised that the trustees will exercise their rights under the ATO general powers of administration consistent with guidance issued by the ATO in January 2013.  </v>
      </c>
      <c r="B62" s="23"/>
      <c r="C62" s="23"/>
      <c r="F62" s="23"/>
      <c r="G62" s="23"/>
    </row>
    <row r="63" spans="1:7" x14ac:dyDescent="0.35">
      <c r="A63" s="23"/>
      <c r="B63" s="23"/>
      <c r="C63" s="23"/>
      <c r="F63" s="23"/>
      <c r="G63" s="23"/>
    </row>
    <row r="64" spans="1:7" x14ac:dyDescent="0.35">
      <c r="A64" s="23" t="s">
        <v>287</v>
      </c>
      <c r="B64" s="23"/>
      <c r="C64" s="23"/>
      <c r="F64" s="23"/>
      <c r="G64" s="23"/>
    </row>
    <row r="65" spans="1:40" x14ac:dyDescent="0.35">
      <c r="A65" s="143" t="str">
        <f>CONCATENATE("I am satisfied that the value at 30 June, 2026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f>
        <v>I am satisfied that the value at 30 June, 2026 of the Fund's assets at that date, together with the future contributions in respect of the superannuation benefits concerned, if accumulated after that date at the rate of the Fund's earnings on assets, would provide the amount required to discharge in full the liabilities as they fall due.  No specific assumption has been made regarding rates of return on the Fund's assets nor has any assumption regarding pension increase rates been made.</v>
      </c>
      <c r="B65" s="143"/>
      <c r="C65" s="143"/>
      <c r="D65" s="61"/>
      <c r="E65" s="61"/>
      <c r="F65" s="143"/>
      <c r="G65" s="143"/>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row>
    <row r="66" spans="1:40" x14ac:dyDescent="0.35">
      <c r="A66" s="143" t="str">
        <f>CONCATENATE("This certificate is based on the termination of the Fund during the year and the fact that no future contributions will be made to the Fund nor pension payments from the fund.  ","Hence no specific assumption has been made regarding rates of return on the Fund's assets nor has any assumption regarding pension increase rates been made.")</f>
        <v>This certificate is based on the termination of the Fund during the year and the fact that no future contributions will be made to the Fund nor pension payments from the fund.  Hence no specific assumption has been made regarding rates of return on the Fund's assets nor has any assumption regarding pension increase rates been made.</v>
      </c>
      <c r="B66" s="143"/>
      <c r="C66" s="143"/>
      <c r="D66" s="61"/>
      <c r="E66" s="61"/>
      <c r="F66" s="143"/>
      <c r="G66" s="143"/>
      <c r="H66" s="61"/>
      <c r="I66" s="61"/>
      <c r="J66" s="61"/>
      <c r="K66" s="61"/>
      <c r="L66" s="61"/>
      <c r="M66" s="61"/>
      <c r="N66" s="61"/>
      <c r="O66" s="61"/>
      <c r="P66" s="61"/>
      <c r="Q66" s="61"/>
      <c r="R66" s="61"/>
      <c r="S66" s="61"/>
      <c r="T66" s="61"/>
      <c r="U66" s="61"/>
      <c r="V66" s="61"/>
      <c r="W66" s="61"/>
      <c r="X66" s="61"/>
      <c r="Y66" s="61"/>
    </row>
    <row r="67" spans="1:40" x14ac:dyDescent="0.35">
      <c r="A67" s="23"/>
      <c r="B67" s="23"/>
      <c r="C67" s="23"/>
      <c r="F67" s="23"/>
      <c r="G67" s="23"/>
    </row>
    <row r="68" spans="1:40" x14ac:dyDescent="0.35">
      <c r="A68" s="23"/>
      <c r="B68" s="23"/>
      <c r="C68" s="23"/>
      <c r="F68" s="23"/>
      <c r="G68" s="23"/>
    </row>
    <row r="69" spans="1:40" x14ac:dyDescent="0.35">
      <c r="A69" s="23"/>
      <c r="F69" s="23"/>
      <c r="G69" s="23"/>
    </row>
    <row r="70" spans="1:40" ht="13.15" x14ac:dyDescent="0.4">
      <c r="A70" s="25" t="s">
        <v>49</v>
      </c>
      <c r="B70" s="24"/>
      <c r="C70" s="24"/>
      <c r="D70" s="24"/>
      <c r="E70" s="24"/>
      <c r="F70" s="24"/>
      <c r="G70" s="24"/>
    </row>
    <row r="71" spans="1:40" x14ac:dyDescent="0.35">
      <c r="A71" s="193"/>
      <c r="B71" s="193"/>
      <c r="C71" s="193"/>
      <c r="D71" s="193"/>
      <c r="E71" s="193"/>
      <c r="F71" s="193"/>
      <c r="G71" s="193"/>
    </row>
    <row r="73" spans="1:40" x14ac:dyDescent="0.35">
      <c r="A73" s="23" t="s">
        <v>322</v>
      </c>
      <c r="B73" t="str">
        <f>IF('Percentage Calc'!D397&gt;2,"Date Range","")</f>
        <v/>
      </c>
    </row>
    <row r="74" spans="1:40" x14ac:dyDescent="0.35">
      <c r="A74" s="23" t="s">
        <v>322</v>
      </c>
      <c r="B74" t="str">
        <f>IF('Percentage Calc'!D397&gt;4,"Date Range ct'd","")</f>
        <v/>
      </c>
    </row>
    <row r="75" spans="1:40" x14ac:dyDescent="0.35">
      <c r="A75" s="23" t="s">
        <v>313</v>
      </c>
      <c r="B75" t="str">
        <f>IF(MIN('Percentage Calc'!C15:C379)=1,"There were no segregated current pension assets and no segregated non-current pension assets held at any time during the year "&amp;B86&amp;".",B76)</f>
        <v>There were no segregated current pension assets and no segregated non-current pension assets held at any time during the year .</v>
      </c>
    </row>
    <row r="76" spans="1:40" x14ac:dyDescent="0.35">
      <c r="A76" s="23" t="s">
        <v>360</v>
      </c>
      <c r="B76" t="str">
        <f>CONCATENATE("The tax exempt percentage applies to periods where current pension assets are not fully segregated ie.") &amp; 'Percentage Calc'!E400 &amp; "."</f>
        <v>The tax exempt percentage applies to periods where current pension assets are not fully segregated ie.01/07/25 to 30/06/26.</v>
      </c>
    </row>
    <row r="77" spans="1:40" x14ac:dyDescent="0.35">
      <c r="A77" s="23" t="s">
        <v>313</v>
      </c>
      <c r="B77" t="str">
        <f>CONCATENATE("The tax exempt percentage applies to periods where current pension assets are not fully segregated ie. ") &amp; 'Percentage Calc'!E400 &amp; " and " &amp; 'Percentage Calc'!E401 &amp; "."</f>
        <v>The tax exempt percentage applies to periods where current pension assets are not fully segregated ie. 01/07/25 to 30/06/26 and .</v>
      </c>
    </row>
    <row r="78" spans="1:40" x14ac:dyDescent="0.35">
      <c r="A78" s="23" t="s">
        <v>313</v>
      </c>
      <c r="B78" t="str">
        <f>CONCATENATE("The tax exempt percentage applies to periods where current pension assets are not fully segregated  - see summary of data for list of these periods.")</f>
        <v>The tax exempt percentage applies to periods where current pension assets are not fully segregated  - see summary of data for list of these periods.</v>
      </c>
    </row>
    <row r="79" spans="1:40" x14ac:dyDescent="0.35">
      <c r="A79" s="23"/>
    </row>
    <row r="80" spans="1:40" x14ac:dyDescent="0.35">
      <c r="A80" s="23" t="s">
        <v>323</v>
      </c>
      <c r="B80" t="str">
        <f>IF('Percentage Calc'!D397&gt;2,CONCATENATE("The tax exempt percentage applies to periods where current pension assets are not fully segregated ie."),IF('Percentage Calc'!D397&gt;1,B77,B75))</f>
        <v>There were no segregated current pension assets and no segregated non-current pension assets held at any time during the year .</v>
      </c>
    </row>
    <row r="82" spans="1:5" x14ac:dyDescent="0.35">
      <c r="A82" s="23" t="s">
        <v>332</v>
      </c>
      <c r="B82" t="str">
        <f>IF('Fund &amp; Member Details'!G49&lt;0.01,IF(SUM(Transactions!D16:G17)&lt;0,"Do not use uniform fields for RP Accounts if there are no opening balances for RP Accounts",""),"")</f>
        <v/>
      </c>
    </row>
    <row r="83" spans="1:5" x14ac:dyDescent="0.35">
      <c r="A83" s="23" t="s">
        <v>358</v>
      </c>
      <c r="B83" t="str">
        <f>IF(('Fund &amp; Member Details'!G59+'Fund &amp; Member Details'!G60)&lt;0.01,IF(SUM(Transactions!L16:P18)&gt;0.01,"Do not use uniform fields for Other Accounts if there are no opening balances for Other Accounts (ie. for non-Retirement Phase Pensions)",""),"")</f>
        <v/>
      </c>
    </row>
    <row r="85" spans="1:5" x14ac:dyDescent="0.35">
      <c r="A85" t="s">
        <v>342</v>
      </c>
      <c r="B85" t="s">
        <v>343</v>
      </c>
      <c r="E85" t="s">
        <v>346</v>
      </c>
    </row>
    <row r="86" spans="1:5" x14ac:dyDescent="0.35">
      <c r="B86" t="str">
        <f>IF('Fund &amp; Member Details'!B32="Y",Check!B85,"")</f>
        <v/>
      </c>
      <c r="E86" t="s">
        <v>344</v>
      </c>
    </row>
    <row r="87" spans="1:5" x14ac:dyDescent="0.35">
      <c r="B87">
        <f>IF('Fund &amp; Member Details'!B31="N",IF('Fund &amp; Member Details'!B32="Y",1,0),1)</f>
        <v>1</v>
      </c>
      <c r="E87" t="s">
        <v>345</v>
      </c>
    </row>
  </sheetData>
  <sheetProtection algorithmName="SHA-512" hashValue="xK9UKOqGnAyCeTUPdqvp1JqPjNtummNcWoshAoGEiel0MYOVrnA1Ju6KozNeM2UlIMiw+qageuywSlJfYq6jiA==" saltValue="OFdkmrvzqwxz3rzZsKyk7Q==" spinCount="100000" sheet="1" objects="1" scenarios="1"/>
  <mergeCells count="3">
    <mergeCell ref="A71:G71"/>
    <mergeCell ref="B20:L21"/>
    <mergeCell ref="B17:L18"/>
  </mergeCells>
  <dataValidations disablePrompts="1" count="1">
    <dataValidation type="list" showInputMessage="1" showErrorMessage="1" errorTitle="Title of Error Message" error="Test Error Message" promptTitle="Concessional contrib" prompt="Test Message" sqref="I73:I75" xr:uid="{00000000-0002-0000-0600-000000000000}">
      <formula1>Valid</formula1>
    </dataValidation>
  </dataValidations>
  <pageMargins left="0.25" right="0.25" top="0.75" bottom="0.75" header="0.3" footer="0.3"/>
  <pageSetup paperSize="9" orientation="landscape" horizontalDpi="4294967293"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7"/>
  <sheetViews>
    <sheetView workbookViewId="0"/>
  </sheetViews>
  <sheetFormatPr defaultRowHeight="12.75" x14ac:dyDescent="0.35"/>
  <cols>
    <col min="2" max="2" width="10.265625" customWidth="1"/>
    <col min="9" max="9" width="4.73046875" customWidth="1"/>
    <col min="10" max="10" width="27.86328125" customWidth="1"/>
    <col min="11" max="14" width="12" customWidth="1"/>
    <col min="15" max="15" width="10.73046875" customWidth="1"/>
    <col min="16" max="16" width="16.3984375" customWidth="1"/>
    <col min="17" max="17" width="16.73046875" customWidth="1"/>
    <col min="18" max="19" width="10.73046875" customWidth="1"/>
  </cols>
  <sheetData>
    <row r="1" spans="1:20" ht="13.15" x14ac:dyDescent="0.4">
      <c r="A1" s="1" t="s">
        <v>78</v>
      </c>
    </row>
    <row r="3" spans="1:20" ht="13.15" x14ac:dyDescent="0.4">
      <c r="J3" s="2" t="s">
        <v>4</v>
      </c>
    </row>
    <row r="4" spans="1:20" x14ac:dyDescent="0.35">
      <c r="J4" s="23" t="s">
        <v>103</v>
      </c>
    </row>
    <row r="5" spans="1:20" ht="13.15" x14ac:dyDescent="0.4">
      <c r="A5" s="1" t="s">
        <v>218</v>
      </c>
      <c r="B5" s="1"/>
      <c r="C5" s="1"/>
      <c r="D5" s="1"/>
      <c r="E5" s="1" t="s">
        <v>15</v>
      </c>
      <c r="F5" s="1"/>
      <c r="G5" s="1"/>
      <c r="H5" s="1"/>
      <c r="I5" s="1"/>
      <c r="K5" t="s">
        <v>17</v>
      </c>
      <c r="L5" t="s">
        <v>18</v>
      </c>
      <c r="M5" t="s">
        <v>19</v>
      </c>
      <c r="N5" t="s">
        <v>20</v>
      </c>
      <c r="P5" s="7" t="s">
        <v>12</v>
      </c>
      <c r="S5" s="1" t="s">
        <v>51</v>
      </c>
      <c r="T5" s="1"/>
    </row>
    <row r="6" spans="1:20" ht="13.15" x14ac:dyDescent="0.4">
      <c r="A6" s="1" t="s">
        <v>9</v>
      </c>
      <c r="B6" s="1" t="s">
        <v>10</v>
      </c>
      <c r="C6" s="1" t="s">
        <v>11</v>
      </c>
      <c r="D6" s="1"/>
      <c r="E6" s="1" t="s">
        <v>9</v>
      </c>
      <c r="F6" s="1" t="s">
        <v>10</v>
      </c>
      <c r="G6" s="1" t="s">
        <v>11</v>
      </c>
      <c r="H6" s="1"/>
      <c r="I6" s="1"/>
      <c r="J6" s="1" t="s">
        <v>104</v>
      </c>
      <c r="K6" s="3">
        <f>IF('Optional ABPs'!B11="",DATA!K10,'Optional ABPs'!B11)</f>
        <v>46203</v>
      </c>
      <c r="L6" s="3">
        <f>IF('Optional ABPs'!C11="",DATA!L10,'Optional ABPs'!C11)</f>
        <v>46203</v>
      </c>
      <c r="M6" s="3">
        <f>IF('Optional ABPs'!D11="",DATA!M10,'Optional ABPs'!D11)</f>
        <v>46203</v>
      </c>
      <c r="N6" s="3">
        <f>IF('Optional ABPs'!E11="",DATA!N10,'Optional ABPs'!E11)</f>
        <v>46203</v>
      </c>
      <c r="P6" s="1" t="s">
        <v>13</v>
      </c>
      <c r="Q6" s="1" t="s">
        <v>14</v>
      </c>
      <c r="S6" s="1" t="s">
        <v>9</v>
      </c>
      <c r="T6" s="1"/>
    </row>
    <row r="7" spans="1:20" ht="13.15" x14ac:dyDescent="0.4">
      <c r="A7">
        <v>20</v>
      </c>
      <c r="B7">
        <v>10</v>
      </c>
      <c r="C7">
        <v>28.6</v>
      </c>
      <c r="E7">
        <v>0</v>
      </c>
      <c r="F7">
        <v>12</v>
      </c>
      <c r="G7">
        <v>29.2</v>
      </c>
      <c r="J7" s="1" t="s">
        <v>5</v>
      </c>
      <c r="K7" s="5">
        <f>(K6-'Optional ABPs'!B8)+1</f>
        <v>365</v>
      </c>
      <c r="L7" s="5">
        <f>(L6-'Optional ABPs'!C8)+1</f>
        <v>365</v>
      </c>
      <c r="M7" s="5">
        <f>(M6-'Optional ABPs'!D8)+1</f>
        <v>365</v>
      </c>
      <c r="N7" s="5">
        <f>(N6-'Optional ABPs'!E8)+1</f>
        <v>365</v>
      </c>
      <c r="P7">
        <v>45</v>
      </c>
      <c r="Q7" s="6">
        <v>22.5</v>
      </c>
      <c r="S7">
        <v>0</v>
      </c>
      <c r="T7" s="30">
        <v>0.04</v>
      </c>
    </row>
    <row r="8" spans="1:20" ht="13.15" x14ac:dyDescent="0.4">
      <c r="A8">
        <v>21</v>
      </c>
      <c r="B8">
        <v>10</v>
      </c>
      <c r="C8">
        <v>28.5</v>
      </c>
      <c r="E8">
        <v>20</v>
      </c>
      <c r="F8">
        <v>12</v>
      </c>
      <c r="G8">
        <v>29.2</v>
      </c>
      <c r="J8" s="1" t="s">
        <v>6</v>
      </c>
      <c r="K8">
        <f t="shared" ref="K8:N8" si="0">K10-K9+1</f>
        <v>365</v>
      </c>
      <c r="L8">
        <f t="shared" si="0"/>
        <v>365</v>
      </c>
      <c r="M8">
        <f t="shared" si="0"/>
        <v>365</v>
      </c>
      <c r="N8">
        <f t="shared" si="0"/>
        <v>365</v>
      </c>
      <c r="P8">
        <v>44</v>
      </c>
      <c r="Q8" s="6">
        <v>22.28</v>
      </c>
      <c r="S8">
        <v>65</v>
      </c>
      <c r="T8" s="30">
        <v>0.05</v>
      </c>
    </row>
    <row r="9" spans="1:20" ht="13.15" x14ac:dyDescent="0.4">
      <c r="A9">
        <v>22</v>
      </c>
      <c r="B9">
        <v>10</v>
      </c>
      <c r="C9">
        <v>28.3</v>
      </c>
      <c r="E9">
        <v>21</v>
      </c>
      <c r="F9">
        <v>12</v>
      </c>
      <c r="G9">
        <v>29</v>
      </c>
      <c r="J9" s="1" t="s">
        <v>7</v>
      </c>
      <c r="K9" s="3">
        <f>DATE(IF(MONTH('Optional ABPs'!B8)&gt;6,YEAR('Optional ABPs'!B8),YEAR('Optional ABPs'!B8)-1),7,1)</f>
        <v>45839</v>
      </c>
      <c r="L9" s="3">
        <f>DATE(IF(MONTH('Optional ABPs'!C8)&gt;6,YEAR('Optional ABPs'!C8),YEAR('Optional ABPs'!C8)-1),7,1)</f>
        <v>45839</v>
      </c>
      <c r="M9" s="3">
        <f>DATE(IF(MONTH('Optional ABPs'!D8)&gt;6,YEAR('Optional ABPs'!D8),YEAR('Optional ABPs'!D8)-1),7,1)</f>
        <v>45839</v>
      </c>
      <c r="N9" s="3">
        <f>DATE(IF(MONTH('Optional ABPs'!E8)&gt;6,YEAR('Optional ABPs'!E8),YEAR('Optional ABPs'!E8)-1),7,1)</f>
        <v>45839</v>
      </c>
      <c r="P9">
        <v>43</v>
      </c>
      <c r="Q9" s="6">
        <v>22.06</v>
      </c>
      <c r="S9">
        <v>75</v>
      </c>
      <c r="T9" s="30">
        <v>0.06</v>
      </c>
    </row>
    <row r="10" spans="1:20" ht="13.15" x14ac:dyDescent="0.4">
      <c r="A10">
        <v>23</v>
      </c>
      <c r="B10">
        <v>10</v>
      </c>
      <c r="C10">
        <v>28.1</v>
      </c>
      <c r="E10">
        <v>22</v>
      </c>
      <c r="F10">
        <v>12</v>
      </c>
      <c r="G10">
        <v>28.9</v>
      </c>
      <c r="J10" s="1" t="s">
        <v>8</v>
      </c>
      <c r="K10" s="3">
        <f>DATE(IF(MONTH('Optional ABPs'!B8)&gt;6,YEAR('Optional ABPs'!B8)+1,YEAR('Optional ABPs'!B8)),6,30)</f>
        <v>46203</v>
      </c>
      <c r="L10" s="3">
        <f>DATE(IF(MONTH('Optional ABPs'!C8)&gt;6,YEAR('Optional ABPs'!C8)+1,YEAR('Optional ABPs'!C8)),6,30)</f>
        <v>46203</v>
      </c>
      <c r="M10" s="3">
        <f>DATE(IF(MONTH('Optional ABPs'!D8)&gt;6,YEAR('Optional ABPs'!D8)+1,YEAR('Optional ABPs'!D8)),6,30)</f>
        <v>46203</v>
      </c>
      <c r="N10" s="3">
        <f>DATE(IF(MONTH('Optional ABPs'!E8)&gt;6,YEAR('Optional ABPs'!E8)+1,YEAR('Optional ABPs'!E8)),6,30)</f>
        <v>46203</v>
      </c>
      <c r="O10" s="4"/>
      <c r="P10">
        <v>42</v>
      </c>
      <c r="Q10" s="6">
        <v>21.83</v>
      </c>
      <c r="S10">
        <v>80</v>
      </c>
      <c r="T10" s="30">
        <v>7.0000000000000007E-2</v>
      </c>
    </row>
    <row r="11" spans="1:20" ht="13.15" x14ac:dyDescent="0.4">
      <c r="A11">
        <v>24</v>
      </c>
      <c r="B11">
        <v>10</v>
      </c>
      <c r="C11">
        <v>28</v>
      </c>
      <c r="E11">
        <v>23</v>
      </c>
      <c r="F11">
        <v>12</v>
      </c>
      <c r="G11">
        <v>28.7</v>
      </c>
      <c r="J11" s="1" t="s">
        <v>1</v>
      </c>
      <c r="K11" s="3" t="str">
        <f>'Optional ABPs'!B7</f>
        <v/>
      </c>
      <c r="L11" s="3" t="str">
        <f>'Optional ABPs'!C7</f>
        <v/>
      </c>
      <c r="M11" s="3" t="str">
        <f>'Optional ABPs'!D7</f>
        <v/>
      </c>
      <c r="N11" s="3" t="str">
        <f>'Optional ABPs'!E7</f>
        <v/>
      </c>
      <c r="O11" s="4"/>
      <c r="P11">
        <v>41</v>
      </c>
      <c r="Q11" s="6">
        <v>21.6</v>
      </c>
      <c r="S11">
        <v>85</v>
      </c>
      <c r="T11" s="30">
        <v>0.09</v>
      </c>
    </row>
    <row r="12" spans="1:20" ht="13.15" x14ac:dyDescent="0.4">
      <c r="A12">
        <v>25</v>
      </c>
      <c r="B12">
        <v>10</v>
      </c>
      <c r="C12">
        <v>27.8</v>
      </c>
      <c r="E12">
        <v>24</v>
      </c>
      <c r="F12">
        <v>12</v>
      </c>
      <c r="G12">
        <v>28.6</v>
      </c>
      <c r="J12" s="1" t="s">
        <v>105</v>
      </c>
      <c r="K12">
        <f>IF('Optional ABPs'!B7&lt;&gt;"",INT(YEAR('Optional ABPs'!B8)-YEAR(K11)+(MONTH('Optional ABPs'!B8)-MONTH(K11))/12+(DAY('Optional ABPs'!B8)-DAY(K11))/365),0)</f>
        <v>0</v>
      </c>
      <c r="L12">
        <f>IF('Optional ABPs'!C7&lt;&gt;"",INT(YEAR('Optional ABPs'!C8)-YEAR(L11)+(MONTH('Optional ABPs'!C8)-MONTH(L11))/12+(DAY('Optional ABPs'!C8)-DAY(L11))/365),0)</f>
        <v>0</v>
      </c>
      <c r="M12">
        <f>IF('Optional ABPs'!D7&lt;&gt;"",INT(YEAR('Optional ABPs'!D8)-YEAR(M11)+(MONTH('Optional ABPs'!D8)-MONTH(M11))/12+(DAY('Optional ABPs'!D8)-DAY(M11))/365),0)</f>
        <v>0</v>
      </c>
      <c r="N12">
        <f>IF('Optional ABPs'!E7&lt;&gt;"",INT(YEAR('Optional ABPs'!E8)-YEAR(N11)+(MONTH('Optional ABPs'!E8)-MONTH(N11))/12+(DAY('Optional ABPs'!E8)-DAY(N11))/365),0)</f>
        <v>0</v>
      </c>
      <c r="O12" s="4"/>
      <c r="P12">
        <v>40</v>
      </c>
      <c r="Q12" s="6">
        <v>21.36</v>
      </c>
      <c r="S12">
        <v>90</v>
      </c>
      <c r="T12" s="30">
        <v>0.11</v>
      </c>
    </row>
    <row r="13" spans="1:20" ht="13.15" x14ac:dyDescent="0.4">
      <c r="A13">
        <v>26</v>
      </c>
      <c r="B13">
        <v>10</v>
      </c>
      <c r="C13">
        <v>27.6</v>
      </c>
      <c r="E13">
        <v>25</v>
      </c>
      <c r="F13">
        <v>12</v>
      </c>
      <c r="G13">
        <v>28.4</v>
      </c>
      <c r="J13" s="1" t="s">
        <v>99</v>
      </c>
      <c r="K13">
        <f>IF('Optional ABPs'!B9&lt;&gt;"",'Optional ABPs'!B9,0)</f>
        <v>0</v>
      </c>
      <c r="L13">
        <f>IF('Optional ABPs'!C9&lt;&gt;"",'Optional ABPs'!C9,0)</f>
        <v>0</v>
      </c>
      <c r="M13">
        <f>IF('Optional ABPs'!D9&lt;&gt;"",'Optional ABPs'!D9,0)</f>
        <v>0</v>
      </c>
      <c r="N13">
        <f>IF('Optional ABPs'!E9&lt;&gt;"",'Optional ABPs'!E9,0)</f>
        <v>0</v>
      </c>
      <c r="O13" s="4"/>
      <c r="P13">
        <v>39</v>
      </c>
      <c r="Q13" s="6">
        <v>21.1</v>
      </c>
      <c r="S13">
        <v>95</v>
      </c>
      <c r="T13" s="30">
        <v>0.14000000000000001</v>
      </c>
    </row>
    <row r="14" spans="1:20" ht="13.15" x14ac:dyDescent="0.4">
      <c r="A14">
        <v>27</v>
      </c>
      <c r="B14">
        <v>10</v>
      </c>
      <c r="C14">
        <v>27.5</v>
      </c>
      <c r="E14">
        <v>26</v>
      </c>
      <c r="F14">
        <v>12</v>
      </c>
      <c r="G14">
        <v>28.3</v>
      </c>
      <c r="J14" s="1" t="s">
        <v>106</v>
      </c>
      <c r="K14">
        <f>IF(K12&gt;0,VLOOKUP(K12,$S$7:$T$13,2,TRUE),0)</f>
        <v>0</v>
      </c>
      <c r="L14">
        <f>IF(L12&gt;0,VLOOKUP(L12,$S$7:$T$13,2,TRUE),0)</f>
        <v>0</v>
      </c>
      <c r="M14">
        <f>IF(M12&gt;0,VLOOKUP(M12,$S$7:$T$13,2,TRUE),0)</f>
        <v>0</v>
      </c>
      <c r="N14">
        <f>IF(N12&gt;0,VLOOKUP(N12,$S$7:$T$13,2,TRUE),0)</f>
        <v>0</v>
      </c>
      <c r="O14" s="4"/>
      <c r="P14">
        <v>38</v>
      </c>
      <c r="Q14" s="6">
        <v>20.84</v>
      </c>
      <c r="S14" s="4"/>
    </row>
    <row r="15" spans="1:20" ht="13.15" x14ac:dyDescent="0.4">
      <c r="A15">
        <v>28</v>
      </c>
      <c r="B15">
        <v>10</v>
      </c>
      <c r="C15">
        <v>27.3</v>
      </c>
      <c r="E15">
        <v>27</v>
      </c>
      <c r="F15">
        <v>12</v>
      </c>
      <c r="G15">
        <v>28.1</v>
      </c>
      <c r="J15" s="1" t="s">
        <v>107</v>
      </c>
      <c r="K15">
        <f>IF('Optional ABPs'!B8&lt;(DATA!K10-29),ROUND(K13*K14*K7/K8/10,0)*10,0)</f>
        <v>0</v>
      </c>
      <c r="L15">
        <f>IF('Optional ABPs'!C8&lt;(DATA!L10-29),ROUND(L13*L14*L7/L8/10,0)*10,0)</f>
        <v>0</v>
      </c>
      <c r="M15">
        <f>IF('Optional ABPs'!D8&lt;(DATA!M10-29),ROUND(M13*M14*M7/M8/10,0)*10,0)</f>
        <v>0</v>
      </c>
      <c r="N15">
        <f>IF('Optional ABPs'!E8&lt;(DATA!N10-29),ROUND(N13*N14*N7/N8/10,0)*10,0)</f>
        <v>0</v>
      </c>
      <c r="O15" s="4"/>
      <c r="P15">
        <v>37</v>
      </c>
      <c r="Q15" s="6">
        <v>20.57</v>
      </c>
      <c r="S15" s="4"/>
    </row>
    <row r="16" spans="1:20" ht="13.15" x14ac:dyDescent="0.4">
      <c r="A16">
        <v>29</v>
      </c>
      <c r="B16">
        <v>10</v>
      </c>
      <c r="C16">
        <v>27.1</v>
      </c>
      <c r="E16">
        <v>28</v>
      </c>
      <c r="F16">
        <v>12</v>
      </c>
      <c r="G16">
        <v>27.9</v>
      </c>
      <c r="J16" s="1" t="s">
        <v>108</v>
      </c>
      <c r="K16" s="23">
        <f>IF('Optional ABPs'!B10="N",K13,IF(K12&lt;65,0.1*K13,K13))</f>
        <v>0</v>
      </c>
      <c r="L16" s="23">
        <f>IF('Optional ABPs'!C10="N",L13,IF(L12&lt;65,0.1*L13,L13))</f>
        <v>0</v>
      </c>
      <c r="M16" s="23">
        <f>IF('Optional ABPs'!D10="N",M13,IF(M12&lt;65,0.1*M13,M13))</f>
        <v>0</v>
      </c>
      <c r="N16" s="23">
        <f>IF('Optional ABPs'!E10="N",N13,IF(N12&lt;65,0.1*N13,N13))</f>
        <v>0</v>
      </c>
      <c r="O16" s="4"/>
      <c r="P16">
        <v>36</v>
      </c>
      <c r="Q16" s="6">
        <v>20.29</v>
      </c>
      <c r="S16" s="4"/>
    </row>
    <row r="17" spans="1:19" x14ac:dyDescent="0.35">
      <c r="A17">
        <v>30</v>
      </c>
      <c r="B17">
        <v>10</v>
      </c>
      <c r="C17">
        <v>26.9</v>
      </c>
      <c r="E17">
        <v>29</v>
      </c>
      <c r="F17">
        <v>12</v>
      </c>
      <c r="G17">
        <v>27.8</v>
      </c>
      <c r="O17" s="4"/>
      <c r="P17">
        <v>35</v>
      </c>
      <c r="Q17" s="6">
        <v>20</v>
      </c>
      <c r="S17" s="4"/>
    </row>
    <row r="18" spans="1:19" ht="13.15" x14ac:dyDescent="0.4">
      <c r="A18">
        <v>31</v>
      </c>
      <c r="B18">
        <v>10</v>
      </c>
      <c r="C18">
        <v>26.7</v>
      </c>
      <c r="E18">
        <v>30</v>
      </c>
      <c r="F18">
        <v>12</v>
      </c>
      <c r="G18">
        <v>27.6</v>
      </c>
      <c r="J18" s="1" t="s">
        <v>109</v>
      </c>
      <c r="O18" s="4"/>
      <c r="P18">
        <v>34</v>
      </c>
      <c r="Q18" s="6">
        <v>19.7</v>
      </c>
      <c r="S18" s="4"/>
    </row>
    <row r="19" spans="1:19" x14ac:dyDescent="0.35">
      <c r="A19">
        <v>32</v>
      </c>
      <c r="B19">
        <v>10</v>
      </c>
      <c r="C19">
        <v>26.5</v>
      </c>
      <c r="E19">
        <v>31</v>
      </c>
      <c r="F19">
        <v>12</v>
      </c>
      <c r="G19">
        <v>27.4</v>
      </c>
      <c r="K19" t="s">
        <v>17</v>
      </c>
      <c r="L19" t="s">
        <v>18</v>
      </c>
      <c r="M19" t="s">
        <v>19</v>
      </c>
      <c r="N19" t="s">
        <v>20</v>
      </c>
      <c r="O19" s="4"/>
      <c r="P19">
        <v>33</v>
      </c>
      <c r="Q19" s="6">
        <v>19.39</v>
      </c>
      <c r="S19" s="4"/>
    </row>
    <row r="20" spans="1:19" ht="13.15" x14ac:dyDescent="0.4">
      <c r="A20">
        <v>33</v>
      </c>
      <c r="B20">
        <v>10</v>
      </c>
      <c r="C20">
        <v>26.3</v>
      </c>
      <c r="E20">
        <v>32</v>
      </c>
      <c r="F20">
        <v>12</v>
      </c>
      <c r="G20">
        <v>27.2</v>
      </c>
      <c r="J20" s="1" t="s">
        <v>104</v>
      </c>
      <c r="K20" s="3">
        <f>IF('Optional ABPs'!B25="",DATA!K24,'Optional ABPs'!B25)</f>
        <v>46203</v>
      </c>
      <c r="L20" s="3">
        <f>IF('Optional ABPs'!C25="",DATA!L24,'Optional ABPs'!C25)</f>
        <v>46203</v>
      </c>
      <c r="M20" s="3">
        <f>IF('Optional ABPs'!D25="",DATA!M24,'Optional ABPs'!D25)</f>
        <v>46203</v>
      </c>
      <c r="N20" s="3">
        <f>IF('Optional ABPs'!E25="",DATA!N24,'Optional ABPs'!E25)</f>
        <v>46203</v>
      </c>
      <c r="O20" s="4"/>
      <c r="P20">
        <v>32</v>
      </c>
      <c r="Q20" s="6">
        <v>19.07</v>
      </c>
      <c r="S20" s="4"/>
    </row>
    <row r="21" spans="1:19" ht="13.15" x14ac:dyDescent="0.4">
      <c r="A21">
        <v>34</v>
      </c>
      <c r="B21">
        <v>10</v>
      </c>
      <c r="C21">
        <v>26</v>
      </c>
      <c r="E21">
        <v>33</v>
      </c>
      <c r="F21">
        <v>12</v>
      </c>
      <c r="G21">
        <v>27</v>
      </c>
      <c r="J21" s="1" t="s">
        <v>5</v>
      </c>
      <c r="K21" s="5">
        <f>(K20-'Optional ABPs'!B22)+1</f>
        <v>365</v>
      </c>
      <c r="L21" s="5">
        <f>(L20-'Optional ABPs'!C22)+1</f>
        <v>365</v>
      </c>
      <c r="M21" s="5">
        <f>(M20-'Optional ABPs'!D22)+1</f>
        <v>365</v>
      </c>
      <c r="N21" s="5">
        <f>(N20-'Optional ABPs'!E22)+1</f>
        <v>365</v>
      </c>
      <c r="O21" s="4"/>
      <c r="P21">
        <v>31</v>
      </c>
      <c r="Q21" s="6">
        <v>18.739999999999998</v>
      </c>
      <c r="S21" s="4"/>
    </row>
    <row r="22" spans="1:19" ht="13.15" x14ac:dyDescent="0.4">
      <c r="A22">
        <v>35</v>
      </c>
      <c r="B22">
        <v>10</v>
      </c>
      <c r="C22">
        <v>25.8</v>
      </c>
      <c r="E22">
        <v>34</v>
      </c>
      <c r="F22">
        <v>12</v>
      </c>
      <c r="G22">
        <v>26.8</v>
      </c>
      <c r="J22" s="1" t="s">
        <v>6</v>
      </c>
      <c r="K22">
        <f t="shared" ref="K22:N22" si="1">K24-K23+1</f>
        <v>365</v>
      </c>
      <c r="L22">
        <f t="shared" si="1"/>
        <v>365</v>
      </c>
      <c r="M22">
        <f t="shared" si="1"/>
        <v>365</v>
      </c>
      <c r="N22">
        <f t="shared" si="1"/>
        <v>365</v>
      </c>
      <c r="O22" s="4"/>
      <c r="P22">
        <v>30</v>
      </c>
      <c r="Q22" s="6">
        <v>18.39</v>
      </c>
      <c r="S22" s="4"/>
    </row>
    <row r="23" spans="1:19" ht="13.15" x14ac:dyDescent="0.4">
      <c r="A23">
        <v>36</v>
      </c>
      <c r="B23">
        <v>10</v>
      </c>
      <c r="C23">
        <v>25.6</v>
      </c>
      <c r="E23">
        <v>35</v>
      </c>
      <c r="F23">
        <v>12</v>
      </c>
      <c r="G23">
        <v>26.6</v>
      </c>
      <c r="J23" s="1" t="s">
        <v>7</v>
      </c>
      <c r="K23" s="3">
        <f>DATE(IF(MONTH('Optional ABPs'!B22)&gt;6,YEAR('Optional ABPs'!B22),YEAR('Optional ABPs'!B22)-1),7,1)</f>
        <v>45839</v>
      </c>
      <c r="L23" s="3">
        <f>DATE(IF(MONTH('Optional ABPs'!C22)&gt;6,YEAR('Optional ABPs'!C22),YEAR('Optional ABPs'!C22)-1),7,1)</f>
        <v>45839</v>
      </c>
      <c r="M23" s="3">
        <f>DATE(IF(MONTH('Optional ABPs'!D22)&gt;6,YEAR('Optional ABPs'!D22),YEAR('Optional ABPs'!D22)-1),7,1)</f>
        <v>45839</v>
      </c>
      <c r="N23" s="3">
        <f>DATE(IF(MONTH('Optional ABPs'!E22)&gt;6,YEAR('Optional ABPs'!E22),YEAR('Optional ABPs'!E22)-1),7,1)</f>
        <v>45839</v>
      </c>
      <c r="O23" s="4"/>
      <c r="P23">
        <v>29</v>
      </c>
      <c r="Q23" s="6">
        <v>18.04</v>
      </c>
      <c r="S23" s="4"/>
    </row>
    <row r="24" spans="1:19" ht="13.15" x14ac:dyDescent="0.4">
      <c r="A24">
        <v>37</v>
      </c>
      <c r="B24">
        <v>10</v>
      </c>
      <c r="C24">
        <v>25.3</v>
      </c>
      <c r="E24">
        <v>36</v>
      </c>
      <c r="F24">
        <v>12</v>
      </c>
      <c r="G24">
        <v>26.4</v>
      </c>
      <c r="J24" s="1" t="s">
        <v>8</v>
      </c>
      <c r="K24" s="3">
        <f>DATE(IF(MONTH('Optional ABPs'!B22)&gt;6,YEAR('Optional ABPs'!B22)+1,YEAR('Optional ABPs'!B22)),6,30)</f>
        <v>46203</v>
      </c>
      <c r="L24" s="3">
        <f>DATE(IF(MONTH('Optional ABPs'!C22)&gt;6,YEAR('Optional ABPs'!C22)+1,YEAR('Optional ABPs'!C22)),6,30)</f>
        <v>46203</v>
      </c>
      <c r="M24" s="3">
        <f>DATE(IF(MONTH('Optional ABPs'!D22)&gt;6,YEAR('Optional ABPs'!D22)+1,YEAR('Optional ABPs'!D22)),6,30)</f>
        <v>46203</v>
      </c>
      <c r="N24" s="3">
        <f>DATE(IF(MONTH('Optional ABPs'!E22)&gt;6,YEAR('Optional ABPs'!E22)+1,YEAR('Optional ABPs'!E22)),6,30)</f>
        <v>46203</v>
      </c>
      <c r="O24" s="4"/>
      <c r="P24">
        <v>28</v>
      </c>
      <c r="Q24" s="6">
        <v>17.670000000000002</v>
      </c>
      <c r="S24" s="4"/>
    </row>
    <row r="25" spans="1:19" ht="13.15" x14ac:dyDescent="0.4">
      <c r="A25">
        <v>38</v>
      </c>
      <c r="B25">
        <v>10</v>
      </c>
      <c r="C25">
        <v>25.1</v>
      </c>
      <c r="E25">
        <v>37</v>
      </c>
      <c r="F25">
        <v>12</v>
      </c>
      <c r="G25">
        <v>26.2</v>
      </c>
      <c r="J25" s="1" t="s">
        <v>105</v>
      </c>
      <c r="K25">
        <f>IF('Optional ABPs'!B21&lt;&gt;"",INT(YEAR('Optional ABPs'!B22)-YEAR('Optional ABPs'!B21)+(MONTH('Optional ABPs'!B22)-MONTH('Optional ABPs'!B21))/12+(DAY('Optional ABPs'!B22)-DAY('Optional ABPs'!B21))/365),0)</f>
        <v>0</v>
      </c>
      <c r="L25">
        <f>IF('Optional ABPs'!C21&lt;&gt;"",INT(YEAR('Optional ABPs'!C22)-YEAR('Optional ABPs'!C21)+(MONTH('Optional ABPs'!C22)-MONTH('Optional ABPs'!C21))/12+(DAY('Optional ABPs'!C22)-DAY('Optional ABPs'!C21))/365),0)</f>
        <v>0</v>
      </c>
      <c r="M25">
        <f>IF('Optional ABPs'!D21&lt;&gt;"",INT(YEAR('Optional ABPs'!D22)-YEAR('Optional ABPs'!D21)+(MONTH('Optional ABPs'!D22)-MONTH('Optional ABPs'!D21))/12+(DAY('Optional ABPs'!D22)-DAY('Optional ABPs'!D21))/365),0)</f>
        <v>0</v>
      </c>
      <c r="N25">
        <f>IF('Optional ABPs'!E21&lt;&gt;"",INT(YEAR('Optional ABPs'!E22)-YEAR('Optional ABPs'!E21)+(MONTH('Optional ABPs'!E22)-MONTH('Optional ABPs'!E21))/12+(DAY('Optional ABPs'!E22)-DAY('Optional ABPs'!E21))/365),0)</f>
        <v>0</v>
      </c>
      <c r="O25" s="4"/>
      <c r="P25">
        <v>27</v>
      </c>
      <c r="Q25" s="6">
        <v>17.29</v>
      </c>
      <c r="S25" s="4"/>
    </row>
    <row r="26" spans="1:19" ht="13.15" x14ac:dyDescent="0.4">
      <c r="A26">
        <v>39</v>
      </c>
      <c r="B26">
        <v>10</v>
      </c>
      <c r="C26">
        <v>24.8</v>
      </c>
      <c r="E26">
        <v>38</v>
      </c>
      <c r="F26">
        <v>12</v>
      </c>
      <c r="G26">
        <v>26</v>
      </c>
      <c r="J26" s="1" t="s">
        <v>99</v>
      </c>
      <c r="K26">
        <f>IF('Optional ABPs'!B23&lt;&gt;"",'Optional ABPs'!B23,0)</f>
        <v>0</v>
      </c>
      <c r="L26">
        <f>IF('Optional ABPs'!C23&lt;&gt;"",'Optional ABPs'!C23,0)</f>
        <v>0</v>
      </c>
      <c r="M26">
        <f>IF('Optional ABPs'!D23&lt;&gt;"",'Optional ABPs'!D23,0)</f>
        <v>0</v>
      </c>
      <c r="N26">
        <f>IF('Optional ABPs'!E23&lt;&gt;"",'Optional ABPs'!E23,0)</f>
        <v>0</v>
      </c>
      <c r="O26" s="4"/>
      <c r="P26">
        <v>26</v>
      </c>
      <c r="Q26" s="6">
        <v>16.89</v>
      </c>
      <c r="S26" s="4"/>
    </row>
    <row r="27" spans="1:19" ht="13.15" x14ac:dyDescent="0.4">
      <c r="A27">
        <v>40</v>
      </c>
      <c r="B27">
        <v>10</v>
      </c>
      <c r="C27">
        <v>24.6</v>
      </c>
      <c r="E27">
        <v>39</v>
      </c>
      <c r="F27">
        <v>12</v>
      </c>
      <c r="G27">
        <v>25.8</v>
      </c>
      <c r="J27" s="1" t="s">
        <v>106</v>
      </c>
      <c r="K27">
        <f>IF(K25&gt;0,VLOOKUP(K25,$S$7:$T$13,2,TRUE),0)</f>
        <v>0</v>
      </c>
      <c r="L27">
        <f>IF(L25&gt;0,VLOOKUP(L25,$S$7:$T$13,2,TRUE),0)</f>
        <v>0</v>
      </c>
      <c r="M27">
        <f>IF(M25&gt;0,VLOOKUP(M25,$S$7:$T$13,2,TRUE),0)</f>
        <v>0</v>
      </c>
      <c r="N27">
        <f>IF(N25&gt;0,VLOOKUP(N25,$S$7:$T$13,2,TRUE),0)</f>
        <v>0</v>
      </c>
      <c r="O27" s="4"/>
      <c r="P27">
        <v>25</v>
      </c>
      <c r="Q27" s="6">
        <v>16.48</v>
      </c>
      <c r="S27" s="4"/>
    </row>
    <row r="28" spans="1:19" ht="13.15" x14ac:dyDescent="0.4">
      <c r="A28">
        <v>41</v>
      </c>
      <c r="B28">
        <v>10</v>
      </c>
      <c r="C28">
        <v>24.3</v>
      </c>
      <c r="E28">
        <v>40</v>
      </c>
      <c r="F28">
        <v>12</v>
      </c>
      <c r="G28">
        <v>25.5</v>
      </c>
      <c r="J28" s="1" t="s">
        <v>107</v>
      </c>
      <c r="K28">
        <f>IF('Optional ABPs'!B22&lt;(DATA!K24-29),ROUND(K26*K27*K21/K22/10,0)*10,0)</f>
        <v>0</v>
      </c>
      <c r="L28">
        <f>IF('Optional ABPs'!C22&lt;(DATA!L24-29),ROUND(L26*L27*L21/L22/10,0)*10,0)</f>
        <v>0</v>
      </c>
      <c r="M28">
        <f>IF('Optional ABPs'!D22&lt;(DATA!M24-29),ROUND(M26*M27*M21/M22/10,0)*10,0)</f>
        <v>0</v>
      </c>
      <c r="N28">
        <f>IF('Optional ABPs'!E22&lt;(DATA!N24-29),ROUND(N26*N27*N21/N22/10,0)*10,0)</f>
        <v>0</v>
      </c>
      <c r="O28" s="4"/>
      <c r="P28">
        <v>24</v>
      </c>
      <c r="Q28" s="6">
        <v>16.059999999999999</v>
      </c>
      <c r="S28" s="4"/>
    </row>
    <row r="29" spans="1:19" ht="13.15" x14ac:dyDescent="0.4">
      <c r="A29">
        <v>42</v>
      </c>
      <c r="B29">
        <v>10</v>
      </c>
      <c r="C29">
        <v>24</v>
      </c>
      <c r="E29">
        <v>41</v>
      </c>
      <c r="F29">
        <v>12</v>
      </c>
      <c r="G29">
        <v>25.3</v>
      </c>
      <c r="J29" s="1" t="s">
        <v>108</v>
      </c>
      <c r="K29" s="23">
        <f>IF('Optional ABPs'!B24="N",K26,IF(K25&lt;65,0.1*K26,K26))</f>
        <v>0</v>
      </c>
      <c r="L29" s="23">
        <f>IF('Optional ABPs'!C24="N",L26,IF(L25&lt;65,0.1*L26,L26))</f>
        <v>0</v>
      </c>
      <c r="M29" s="23">
        <f>IF('Optional ABPs'!D24="N",M26,IF(M25&lt;65,0.1*M26,M26))</f>
        <v>0</v>
      </c>
      <c r="N29" s="23">
        <f>IF('Optional ABPs'!E24="N",N26,IF(N25&lt;65,0.1*N26,N26))</f>
        <v>0</v>
      </c>
      <c r="O29" s="4"/>
      <c r="P29">
        <v>23</v>
      </c>
      <c r="Q29" s="6">
        <v>15.62</v>
      </c>
      <c r="S29" s="4"/>
    </row>
    <row r="30" spans="1:19" x14ac:dyDescent="0.35">
      <c r="A30">
        <v>43</v>
      </c>
      <c r="B30">
        <v>10</v>
      </c>
      <c r="C30">
        <v>23.7</v>
      </c>
      <c r="E30">
        <v>42</v>
      </c>
      <c r="F30">
        <v>12</v>
      </c>
      <c r="G30">
        <v>25</v>
      </c>
      <c r="O30" s="4"/>
      <c r="P30">
        <v>22</v>
      </c>
      <c r="Q30" s="6">
        <v>15.17</v>
      </c>
      <c r="S30" s="4"/>
    </row>
    <row r="31" spans="1:19" ht="13.15" x14ac:dyDescent="0.4">
      <c r="A31">
        <v>44</v>
      </c>
      <c r="B31">
        <v>10</v>
      </c>
      <c r="C31">
        <v>23.4</v>
      </c>
      <c r="E31">
        <v>43</v>
      </c>
      <c r="F31">
        <v>12</v>
      </c>
      <c r="G31">
        <v>24.8</v>
      </c>
      <c r="J31" s="1" t="s">
        <v>111</v>
      </c>
      <c r="O31" s="4"/>
      <c r="P31">
        <v>21</v>
      </c>
      <c r="Q31" s="6">
        <v>14.7</v>
      </c>
      <c r="S31" s="4"/>
    </row>
    <row r="32" spans="1:19" x14ac:dyDescent="0.35">
      <c r="A32">
        <v>45</v>
      </c>
      <c r="B32">
        <v>10</v>
      </c>
      <c r="C32">
        <v>23.1</v>
      </c>
      <c r="E32">
        <v>44</v>
      </c>
      <c r="F32">
        <v>12</v>
      </c>
      <c r="G32">
        <v>24.5</v>
      </c>
      <c r="K32" t="s">
        <v>17</v>
      </c>
      <c r="L32" t="s">
        <v>18</v>
      </c>
      <c r="M32" t="s">
        <v>19</v>
      </c>
      <c r="N32" t="s">
        <v>20</v>
      </c>
      <c r="O32" s="4"/>
      <c r="P32">
        <v>20</v>
      </c>
      <c r="Q32" s="6">
        <v>14.21</v>
      </c>
      <c r="S32" s="4"/>
    </row>
    <row r="33" spans="1:19" ht="13.15" x14ac:dyDescent="0.4">
      <c r="A33">
        <v>46</v>
      </c>
      <c r="B33">
        <v>10</v>
      </c>
      <c r="C33">
        <v>22.8</v>
      </c>
      <c r="E33">
        <v>45</v>
      </c>
      <c r="F33">
        <v>12</v>
      </c>
      <c r="G33">
        <v>24.2</v>
      </c>
      <c r="J33" s="1" t="s">
        <v>104</v>
      </c>
      <c r="K33" s="3">
        <f>IF('Optional ABPs'!B39="",DATA!K37,'Optional ABPs'!B39)</f>
        <v>46203</v>
      </c>
      <c r="L33" s="3">
        <f>IF('Optional ABPs'!C39="",DATA!L37,'Optional ABPs'!C39)</f>
        <v>46203</v>
      </c>
      <c r="M33" s="3">
        <f>IF('Optional ABPs'!D39="",DATA!M37,'Optional ABPs'!D39)</f>
        <v>46203</v>
      </c>
      <c r="N33" s="3">
        <f>IF('Optional ABPs'!E39="",DATA!N37,'Optional ABPs'!E39)</f>
        <v>46203</v>
      </c>
      <c r="O33" s="4"/>
      <c r="P33">
        <v>19</v>
      </c>
      <c r="Q33" s="6">
        <v>13.71</v>
      </c>
      <c r="S33" s="4"/>
    </row>
    <row r="34" spans="1:19" ht="13.15" x14ac:dyDescent="0.4">
      <c r="A34">
        <v>47</v>
      </c>
      <c r="B34">
        <v>10</v>
      </c>
      <c r="C34">
        <v>22.5</v>
      </c>
      <c r="E34">
        <v>46</v>
      </c>
      <c r="F34">
        <v>12</v>
      </c>
      <c r="G34">
        <v>24</v>
      </c>
      <c r="J34" s="1" t="s">
        <v>5</v>
      </c>
      <c r="K34" s="5">
        <f>(K33-'Optional ABPs'!B36)+1</f>
        <v>365</v>
      </c>
      <c r="L34" s="5">
        <f>(L33-'Optional ABPs'!C36)+1</f>
        <v>365</v>
      </c>
      <c r="M34" s="5">
        <f>(M33-'Optional ABPs'!D36)+1</f>
        <v>365</v>
      </c>
      <c r="N34" s="5">
        <f>(N33-'Optional ABPs'!E36)+1</f>
        <v>365</v>
      </c>
      <c r="O34" s="4"/>
      <c r="P34">
        <v>18</v>
      </c>
      <c r="Q34" s="6">
        <v>13.19</v>
      </c>
      <c r="S34" s="4"/>
    </row>
    <row r="35" spans="1:19" ht="13.15" x14ac:dyDescent="0.4">
      <c r="A35">
        <v>48</v>
      </c>
      <c r="B35">
        <v>10</v>
      </c>
      <c r="C35">
        <v>22.2</v>
      </c>
      <c r="E35">
        <v>47</v>
      </c>
      <c r="F35">
        <v>12</v>
      </c>
      <c r="G35">
        <v>23.7</v>
      </c>
      <c r="J35" s="1" t="s">
        <v>6</v>
      </c>
      <c r="K35">
        <f t="shared" ref="K35:N35" si="2">K37-K36+1</f>
        <v>365</v>
      </c>
      <c r="L35">
        <f t="shared" si="2"/>
        <v>365</v>
      </c>
      <c r="M35">
        <f t="shared" si="2"/>
        <v>365</v>
      </c>
      <c r="N35">
        <f t="shared" si="2"/>
        <v>365</v>
      </c>
      <c r="O35" s="4"/>
      <c r="P35">
        <v>17</v>
      </c>
      <c r="Q35" s="6">
        <v>12.65</v>
      </c>
      <c r="S35" s="4"/>
    </row>
    <row r="36" spans="1:19" ht="13.15" x14ac:dyDescent="0.4">
      <c r="A36">
        <v>49</v>
      </c>
      <c r="B36">
        <v>10</v>
      </c>
      <c r="C36">
        <v>21.9</v>
      </c>
      <c r="E36">
        <v>48</v>
      </c>
      <c r="F36">
        <v>12</v>
      </c>
      <c r="G36">
        <v>23.4</v>
      </c>
      <c r="J36" s="1" t="s">
        <v>7</v>
      </c>
      <c r="K36" s="3">
        <f>DATE(IF(MONTH('Optional ABPs'!B36)&gt;6,YEAR('Optional ABPs'!B36),YEAR('Optional ABPs'!B36)-1),7,1)</f>
        <v>45839</v>
      </c>
      <c r="L36" s="3">
        <f>DATE(IF(MONTH('Optional ABPs'!C36)&gt;6,YEAR('Optional ABPs'!C36),YEAR('Optional ABPs'!C36)-1),7,1)</f>
        <v>45839</v>
      </c>
      <c r="M36" s="3">
        <f>DATE(IF(MONTH('Optional ABPs'!D36)&gt;6,YEAR('Optional ABPs'!D36),YEAR('Optional ABPs'!D36)-1),7,1)</f>
        <v>45839</v>
      </c>
      <c r="N36" s="3">
        <f>DATE(IF(MONTH('Optional ABPs'!E36)&gt;6,YEAR('Optional ABPs'!E36),YEAR('Optional ABPs'!E36)-1),7,1)</f>
        <v>45839</v>
      </c>
      <c r="O36" s="4"/>
      <c r="P36">
        <v>16</v>
      </c>
      <c r="Q36" s="6">
        <v>12.09</v>
      </c>
      <c r="S36" s="4"/>
    </row>
    <row r="37" spans="1:19" ht="13.15" x14ac:dyDescent="0.4">
      <c r="A37">
        <v>50</v>
      </c>
      <c r="B37">
        <v>9.9</v>
      </c>
      <c r="C37">
        <v>21.5</v>
      </c>
      <c r="E37">
        <v>49</v>
      </c>
      <c r="F37">
        <v>12</v>
      </c>
      <c r="G37">
        <v>23.1</v>
      </c>
      <c r="J37" s="1" t="s">
        <v>8</v>
      </c>
      <c r="K37" s="3">
        <f>DATE(IF(MONTH('Optional ABPs'!B36)&gt;6,YEAR('Optional ABPs'!B36)+1,YEAR('Optional ABPs'!B36)),6,30)</f>
        <v>46203</v>
      </c>
      <c r="L37" s="3">
        <f>DATE(IF(MONTH('Optional ABPs'!C36)&gt;6,YEAR('Optional ABPs'!C36)+1,YEAR('Optional ABPs'!C36)),6,30)</f>
        <v>46203</v>
      </c>
      <c r="M37" s="3">
        <f>DATE(IF(MONTH('Optional ABPs'!D36)&gt;6,YEAR('Optional ABPs'!D36)+1,YEAR('Optional ABPs'!D36)),6,30)</f>
        <v>46203</v>
      </c>
      <c r="N37" s="3">
        <f>DATE(IF(MONTH('Optional ABPs'!E36)&gt;6,YEAR('Optional ABPs'!E36)+1,YEAR('Optional ABPs'!E36)),6,30)</f>
        <v>46203</v>
      </c>
      <c r="O37" s="4"/>
      <c r="P37">
        <v>15</v>
      </c>
      <c r="Q37" s="6">
        <v>11.52</v>
      </c>
      <c r="S37" s="4"/>
    </row>
    <row r="38" spans="1:19" ht="13.15" x14ac:dyDescent="0.4">
      <c r="A38">
        <v>51</v>
      </c>
      <c r="B38">
        <v>9.9</v>
      </c>
      <c r="C38">
        <v>21.2</v>
      </c>
      <c r="E38">
        <v>50</v>
      </c>
      <c r="F38">
        <v>12</v>
      </c>
      <c r="G38">
        <v>22.8</v>
      </c>
      <c r="J38" s="1" t="s">
        <v>105</v>
      </c>
      <c r="K38">
        <f>IF('Optional ABPs'!B35&lt;&gt;"",INT(YEAR('Optional ABPs'!B36)-YEAR('Optional ABPs'!B35)+(MONTH('Optional ABPs'!B36)-MONTH('Optional ABPs'!B35))/12+(DAY('Optional ABPs'!B36)-DAY('Optional ABPs'!B35))/365),0)</f>
        <v>0</v>
      </c>
      <c r="L38">
        <f>IF('Optional ABPs'!C35&lt;&gt;"",INT(YEAR('Optional ABPs'!C36)-YEAR('Optional ABPs'!C35)+(MONTH('Optional ABPs'!C36)-MONTH('Optional ABPs'!C35))/12+(DAY('Optional ABPs'!C36)-DAY('Optional ABPs'!C35))/365),0)</f>
        <v>0</v>
      </c>
      <c r="M38">
        <f>IF('Optional ABPs'!D35&lt;&gt;"",INT(YEAR('Optional ABPs'!D36)-YEAR('Optional ABPs'!D35)+(MONTH('Optional ABPs'!D36)-MONTH('Optional ABPs'!D35))/12+(DAY('Optional ABPs'!D36)-DAY('Optional ABPs'!D35))/365),0)</f>
        <v>0</v>
      </c>
      <c r="N38">
        <f>IF('Optional ABPs'!E35&lt;&gt;"",INT(YEAR('Optional ABPs'!E36)-YEAR('Optional ABPs'!E35)+(MONTH('Optional ABPs'!E36)-MONTH('Optional ABPs'!E35))/12+(DAY('Optional ABPs'!E36)-DAY('Optional ABPs'!E35))/365),0)</f>
        <v>0</v>
      </c>
      <c r="O38" s="4"/>
      <c r="P38">
        <v>14</v>
      </c>
      <c r="Q38" s="6">
        <v>10.92</v>
      </c>
      <c r="S38" s="4"/>
    </row>
    <row r="39" spans="1:19" ht="13.15" x14ac:dyDescent="0.4">
      <c r="A39">
        <v>52</v>
      </c>
      <c r="B39">
        <v>9.8000000000000007</v>
      </c>
      <c r="C39">
        <v>20.9</v>
      </c>
      <c r="E39">
        <v>51</v>
      </c>
      <c r="F39">
        <v>11.9</v>
      </c>
      <c r="G39">
        <v>22.5</v>
      </c>
      <c r="J39" s="1" t="s">
        <v>99</v>
      </c>
      <c r="K39">
        <f>IF('Optional ABPs'!B37&lt;&gt;"",'Optional ABPs'!B37,0)</f>
        <v>0</v>
      </c>
      <c r="L39">
        <f>IF('Optional ABPs'!C37&lt;&gt;"",'Optional ABPs'!C37,0)</f>
        <v>0</v>
      </c>
      <c r="M39">
        <f>IF('Optional ABPs'!D37&lt;&gt;"",'Optional ABPs'!D37,0)</f>
        <v>0</v>
      </c>
      <c r="N39">
        <f>IF('Optional ABPs'!E37&lt;&gt;"",'Optional ABPs'!E37,0)</f>
        <v>0</v>
      </c>
      <c r="O39" s="4"/>
      <c r="P39">
        <v>13</v>
      </c>
      <c r="Q39" s="6">
        <v>10.3</v>
      </c>
    </row>
    <row r="40" spans="1:19" ht="13.15" x14ac:dyDescent="0.4">
      <c r="A40">
        <v>53</v>
      </c>
      <c r="B40">
        <v>9.6999999999999993</v>
      </c>
      <c r="C40">
        <v>20.5</v>
      </c>
      <c r="E40">
        <v>52</v>
      </c>
      <c r="F40">
        <v>11.8</v>
      </c>
      <c r="G40">
        <v>22.2</v>
      </c>
      <c r="J40" s="1" t="s">
        <v>106</v>
      </c>
      <c r="K40">
        <f>IF(K38&gt;0,VLOOKUP(K38,$S$7:$T$13,2,TRUE),0)</f>
        <v>0</v>
      </c>
      <c r="L40">
        <f>IF(L38&gt;0,VLOOKUP(L38,$S$7:$T$13,2,TRUE),0)</f>
        <v>0</v>
      </c>
      <c r="M40">
        <f>IF(M38&gt;0,VLOOKUP(M38,$S$7:$T$13,2,TRUE),0)</f>
        <v>0</v>
      </c>
      <c r="N40">
        <f>IF(N38&gt;0,VLOOKUP(N38,$S$7:$T$13,2,TRUE),0)</f>
        <v>0</v>
      </c>
      <c r="P40">
        <v>12</v>
      </c>
      <c r="Q40" s="6">
        <v>9.66</v>
      </c>
    </row>
    <row r="41" spans="1:19" ht="13.15" x14ac:dyDescent="0.4">
      <c r="A41">
        <v>54</v>
      </c>
      <c r="B41">
        <v>9.6999999999999993</v>
      </c>
      <c r="C41">
        <v>20.100000000000001</v>
      </c>
      <c r="E41">
        <v>53</v>
      </c>
      <c r="F41">
        <v>11.8</v>
      </c>
      <c r="G41">
        <v>21.8</v>
      </c>
      <c r="J41" s="1" t="s">
        <v>107</v>
      </c>
      <c r="K41">
        <f>IF('Optional ABPs'!B36&lt;(DATA!K37-29),ROUND(K39*K40*K34/K35/10,0)*10,0)</f>
        <v>0</v>
      </c>
      <c r="L41">
        <f>IF('Optional ABPs'!C36&lt;(DATA!L37-29),ROUND(L39*L40*L34/L35/10,0)*10,0)</f>
        <v>0</v>
      </c>
      <c r="M41">
        <f>IF('Optional ABPs'!D36&lt;(DATA!M37-29),ROUND(M39*M40*M34/M35/10,0)*10,0)</f>
        <v>0</v>
      </c>
      <c r="N41">
        <f>IF('Optional ABPs'!E36&lt;(DATA!N37-29),ROUND(N39*N40*N34/N35/10,0)*10,0)</f>
        <v>0</v>
      </c>
      <c r="P41">
        <v>11</v>
      </c>
      <c r="Q41" s="6">
        <v>9</v>
      </c>
    </row>
    <row r="42" spans="1:19" ht="13.15" x14ac:dyDescent="0.4">
      <c r="A42">
        <v>55</v>
      </c>
      <c r="B42">
        <v>9.6</v>
      </c>
      <c r="C42">
        <v>19.8</v>
      </c>
      <c r="E42">
        <v>54</v>
      </c>
      <c r="F42">
        <v>11.7</v>
      </c>
      <c r="G42">
        <v>21.5</v>
      </c>
      <c r="J42" s="1" t="s">
        <v>108</v>
      </c>
      <c r="K42" s="23">
        <f>IF('Optional ABPs'!B38="N",K39,IF(K38&lt;65,0.1*K39,K39))</f>
        <v>0</v>
      </c>
      <c r="L42" s="23">
        <f>IF('Optional ABPs'!C38="N",L39,IF(L38&lt;65,0.1*L39,L39))</f>
        <v>0</v>
      </c>
      <c r="M42" s="23">
        <f>IF('Optional ABPs'!D38="N",M39,IF(M38&lt;65,0.1*M39,M39))</f>
        <v>0</v>
      </c>
      <c r="N42" s="23">
        <f>IF('Optional ABPs'!E38="N",N39,IF(N38&lt;65,0.1*N39,N39))</f>
        <v>0</v>
      </c>
      <c r="P42">
        <v>10</v>
      </c>
      <c r="Q42" s="6">
        <v>8.32</v>
      </c>
    </row>
    <row r="43" spans="1:19" x14ac:dyDescent="0.35">
      <c r="A43">
        <v>56</v>
      </c>
      <c r="B43">
        <v>9.5</v>
      </c>
      <c r="C43">
        <v>19.399999999999999</v>
      </c>
      <c r="E43">
        <v>55</v>
      </c>
      <c r="F43">
        <v>11.5</v>
      </c>
      <c r="G43">
        <v>21.1</v>
      </c>
      <c r="P43">
        <v>9</v>
      </c>
      <c r="Q43" s="6">
        <v>7.61</v>
      </c>
    </row>
    <row r="44" spans="1:19" ht="13.15" x14ac:dyDescent="0.4">
      <c r="A44">
        <v>57</v>
      </c>
      <c r="B44">
        <v>9.4</v>
      </c>
      <c r="C44">
        <v>19</v>
      </c>
      <c r="E44">
        <v>56</v>
      </c>
      <c r="F44">
        <v>11.4</v>
      </c>
      <c r="G44">
        <v>20.8</v>
      </c>
      <c r="J44" s="1" t="s">
        <v>110</v>
      </c>
      <c r="P44">
        <v>8</v>
      </c>
      <c r="Q44" s="6">
        <v>6.87</v>
      </c>
    </row>
    <row r="45" spans="1:19" x14ac:dyDescent="0.35">
      <c r="A45">
        <v>58</v>
      </c>
      <c r="B45">
        <v>9.3000000000000007</v>
      </c>
      <c r="C45">
        <v>18.600000000000001</v>
      </c>
      <c r="E45">
        <v>57</v>
      </c>
      <c r="F45">
        <v>11.3</v>
      </c>
      <c r="G45">
        <v>20.399999999999999</v>
      </c>
      <c r="K45" t="s">
        <v>17</v>
      </c>
      <c r="L45" t="s">
        <v>18</v>
      </c>
      <c r="M45" t="s">
        <v>19</v>
      </c>
      <c r="N45" t="s">
        <v>20</v>
      </c>
      <c r="P45">
        <v>7</v>
      </c>
      <c r="Q45" s="6">
        <v>6.11</v>
      </c>
    </row>
    <row r="46" spans="1:19" ht="13.15" x14ac:dyDescent="0.4">
      <c r="A46">
        <v>59</v>
      </c>
      <c r="B46">
        <v>9.1</v>
      </c>
      <c r="C46">
        <v>18.2</v>
      </c>
      <c r="E46">
        <v>58</v>
      </c>
      <c r="F46">
        <v>11.2</v>
      </c>
      <c r="G46">
        <v>20.100000000000001</v>
      </c>
      <c r="J46" s="1" t="s">
        <v>104</v>
      </c>
      <c r="K46" s="3">
        <f>IF('Optional ABPs'!B53="",DATA!K50,'Optional ABPs'!B53)</f>
        <v>46203</v>
      </c>
      <c r="L46" s="3">
        <f>IF('Optional ABPs'!C53="",DATA!L50,'Optional ABPs'!C53)</f>
        <v>46203</v>
      </c>
      <c r="M46" s="3">
        <f>IF('Optional ABPs'!D53="",DATA!M50,'Optional ABPs'!D53)</f>
        <v>46203</v>
      </c>
      <c r="N46" s="3">
        <f>IF('Optional ABPs'!E53="",DATA!N50,'Optional ABPs'!E53)</f>
        <v>46203</v>
      </c>
      <c r="P46">
        <v>6</v>
      </c>
      <c r="Q46" s="6">
        <v>5.33</v>
      </c>
    </row>
    <row r="47" spans="1:19" ht="13.15" x14ac:dyDescent="0.4">
      <c r="A47">
        <v>60</v>
      </c>
      <c r="B47">
        <v>9</v>
      </c>
      <c r="C47">
        <v>17.8</v>
      </c>
      <c r="E47">
        <v>59</v>
      </c>
      <c r="F47">
        <v>11</v>
      </c>
      <c r="G47">
        <v>19.7</v>
      </c>
      <c r="J47" s="1" t="s">
        <v>5</v>
      </c>
      <c r="K47" s="5">
        <f>(K46-'Optional ABPs'!B50)+1</f>
        <v>365</v>
      </c>
      <c r="L47" s="5">
        <f>(L46-'Optional ABPs'!C50)+1</f>
        <v>365</v>
      </c>
      <c r="M47" s="5">
        <f>(M46-'Optional ABPs'!D50)+1</f>
        <v>365</v>
      </c>
      <c r="N47" s="5">
        <f>(N46-'Optional ABPs'!E50)+1</f>
        <v>365</v>
      </c>
      <c r="P47">
        <v>5</v>
      </c>
      <c r="Q47" s="6">
        <v>4.5199999999999996</v>
      </c>
    </row>
    <row r="48" spans="1:19" ht="13.15" x14ac:dyDescent="0.4">
      <c r="A48">
        <v>61</v>
      </c>
      <c r="B48">
        <v>8.9</v>
      </c>
      <c r="C48">
        <v>17.399999999999999</v>
      </c>
      <c r="E48">
        <v>60</v>
      </c>
      <c r="F48">
        <v>10.9</v>
      </c>
      <c r="G48">
        <v>19.3</v>
      </c>
      <c r="J48" s="1" t="s">
        <v>6</v>
      </c>
      <c r="K48">
        <f t="shared" ref="K48:N48" si="3">K50-K49+1</f>
        <v>365</v>
      </c>
      <c r="L48">
        <f t="shared" si="3"/>
        <v>365</v>
      </c>
      <c r="M48">
        <f t="shared" si="3"/>
        <v>365</v>
      </c>
      <c r="N48">
        <f t="shared" si="3"/>
        <v>365</v>
      </c>
      <c r="P48">
        <v>4</v>
      </c>
      <c r="Q48" s="6">
        <v>3.67</v>
      </c>
    </row>
    <row r="49" spans="1:17" ht="13.15" x14ac:dyDescent="0.4">
      <c r="A49">
        <v>62</v>
      </c>
      <c r="B49">
        <v>8.6999999999999993</v>
      </c>
      <c r="C49">
        <v>17</v>
      </c>
      <c r="E49">
        <v>61</v>
      </c>
      <c r="F49">
        <v>10.7</v>
      </c>
      <c r="G49">
        <v>18.899999999999999</v>
      </c>
      <c r="J49" s="1" t="s">
        <v>7</v>
      </c>
      <c r="K49" s="3">
        <f>DATE(IF(MONTH('Optional ABPs'!B50)&gt;6,YEAR('Optional ABPs'!B50),YEAR('Optional ABPs'!B50)-1),7,1)</f>
        <v>45839</v>
      </c>
      <c r="L49" s="3">
        <f>DATE(IF(MONTH('Optional ABPs'!C50)&gt;6,YEAR('Optional ABPs'!C50),YEAR('Optional ABPs'!C50)-1),7,1)</f>
        <v>45839</v>
      </c>
      <c r="M49" s="3">
        <f>DATE(IF(MONTH('Optional ABPs'!D50)&gt;6,YEAR('Optional ABPs'!D50),YEAR('Optional ABPs'!D50)-1),7,1)</f>
        <v>45839</v>
      </c>
      <c r="N49" s="3">
        <f>DATE(IF(MONTH('Optional ABPs'!E50)&gt;6,YEAR('Optional ABPs'!E50),YEAR('Optional ABPs'!E50)-1),7,1)</f>
        <v>45839</v>
      </c>
      <c r="P49">
        <v>3</v>
      </c>
      <c r="Q49" s="6">
        <v>2.8</v>
      </c>
    </row>
    <row r="50" spans="1:17" ht="13.15" x14ac:dyDescent="0.4">
      <c r="A50">
        <v>63</v>
      </c>
      <c r="B50">
        <v>8.5</v>
      </c>
      <c r="C50">
        <v>16.600000000000001</v>
      </c>
      <c r="E50">
        <v>62</v>
      </c>
      <c r="F50">
        <v>10.5</v>
      </c>
      <c r="G50">
        <v>18.5</v>
      </c>
      <c r="J50" s="1" t="s">
        <v>8</v>
      </c>
      <c r="K50" s="3">
        <f>DATE(IF(MONTH('Optional ABPs'!B50)&gt;6,YEAR('Optional ABPs'!B50)+1,YEAR('Optional ABPs'!B50)),6,30)</f>
        <v>46203</v>
      </c>
      <c r="L50" s="3">
        <f>DATE(IF(MONTH('Optional ABPs'!C50)&gt;6,YEAR('Optional ABPs'!C50)+1,YEAR('Optional ABPs'!C50)),6,30)</f>
        <v>46203</v>
      </c>
      <c r="M50" s="3">
        <f>DATE(IF(MONTH('Optional ABPs'!D50)&gt;6,YEAR('Optional ABPs'!D50)+1,YEAR('Optional ABPs'!D50)),6,30)</f>
        <v>46203</v>
      </c>
      <c r="N50" s="3">
        <f>DATE(IF(MONTH('Optional ABPs'!E50)&gt;6,YEAR('Optional ABPs'!E50)+1,YEAR('Optional ABPs'!E50)),6,30)</f>
        <v>46203</v>
      </c>
      <c r="P50">
        <v>2</v>
      </c>
      <c r="Q50" s="6">
        <v>1.9</v>
      </c>
    </row>
    <row r="51" spans="1:17" ht="13.15" x14ac:dyDescent="0.4">
      <c r="A51">
        <v>64</v>
      </c>
      <c r="B51">
        <v>8.3000000000000007</v>
      </c>
      <c r="C51">
        <v>16.2</v>
      </c>
      <c r="E51">
        <v>63</v>
      </c>
      <c r="F51">
        <v>10.3</v>
      </c>
      <c r="G51">
        <v>18.100000000000001</v>
      </c>
      <c r="J51" s="1" t="s">
        <v>105</v>
      </c>
      <c r="K51">
        <f>IF('Optional ABPs'!B49&lt;&gt;"",INT(YEAR('Optional ABPs'!B50)-YEAR('Optional ABPs'!B49)+(MONTH('Optional ABPs'!B50)-MONTH('Optional ABPs'!B49))/12+(DAY('Optional ABPs'!B50)-DAY('Optional ABPs'!B49))/365),0)</f>
        <v>0</v>
      </c>
      <c r="L51">
        <f>IF('Optional ABPs'!C49&lt;&gt;"",INT(YEAR('Optional ABPs'!C50)-YEAR('Optional ABPs'!C49)+(MONTH('Optional ABPs'!C50)-MONTH('Optional ABPs'!C49))/12+(DAY('Optional ABPs'!C50)-DAY('Optional ABPs'!C49))/365),0)</f>
        <v>0</v>
      </c>
      <c r="M51">
        <f>IF('Optional ABPs'!D49&lt;&gt;"",INT(YEAR('Optional ABPs'!D50)-YEAR('Optional ABPs'!D49)+(MONTH('Optional ABPs'!D50)-MONTH('Optional ABPs'!D49))/12+(DAY('Optional ABPs'!D50)-DAY('Optional ABPs'!D49))/365),0)</f>
        <v>0</v>
      </c>
      <c r="N51">
        <f>IF('Optional ABPs'!E49&lt;&gt;"",INT(YEAR('Optional ABPs'!E50)-YEAR('Optional ABPs'!E49)+(MONTH('Optional ABPs'!E50)-MONTH('Optional ABPs'!E49))/12+(DAY('Optional ABPs'!E50)-DAY('Optional ABPs'!E49))/365),0)</f>
        <v>0</v>
      </c>
      <c r="P51">
        <v>1</v>
      </c>
      <c r="Q51" s="6">
        <v>1</v>
      </c>
    </row>
    <row r="52" spans="1:17" ht="13.15" x14ac:dyDescent="0.4">
      <c r="A52">
        <v>65</v>
      </c>
      <c r="B52">
        <v>8.1</v>
      </c>
      <c r="C52">
        <v>15.7</v>
      </c>
      <c r="E52">
        <v>64</v>
      </c>
      <c r="F52">
        <v>10.1</v>
      </c>
      <c r="G52">
        <v>17.7</v>
      </c>
      <c r="J52" s="1" t="s">
        <v>99</v>
      </c>
      <c r="K52">
        <f>IF('Optional ABPs'!B51&lt;&gt;"",'Optional ABPs'!B51,0)</f>
        <v>0</v>
      </c>
      <c r="L52">
        <f>IF('Optional ABPs'!C51&lt;&gt;"",'Optional ABPs'!C51,0)</f>
        <v>0</v>
      </c>
      <c r="M52">
        <f>IF('Optional ABPs'!D51&lt;&gt;"",'Optional ABPs'!D51,0)</f>
        <v>0</v>
      </c>
      <c r="N52">
        <f>IF('Optional ABPs'!E51&lt;&gt;"",'Optional ABPs'!E51,0)</f>
        <v>0</v>
      </c>
    </row>
    <row r="53" spans="1:17" ht="13.15" x14ac:dyDescent="0.4">
      <c r="A53">
        <v>66</v>
      </c>
      <c r="B53">
        <v>7.9</v>
      </c>
      <c r="C53">
        <v>15.3</v>
      </c>
      <c r="E53">
        <v>65</v>
      </c>
      <c r="F53">
        <v>9.9</v>
      </c>
      <c r="G53">
        <v>17.3</v>
      </c>
      <c r="J53" s="1" t="s">
        <v>106</v>
      </c>
      <c r="K53">
        <f>IF(K51&gt;0,VLOOKUP(K51,$S$7:$T$13,2,TRUE),0)</f>
        <v>0</v>
      </c>
      <c r="L53">
        <f>IF(L51&gt;0,VLOOKUP(L51,$S$7:$T$13,2,TRUE),0)</f>
        <v>0</v>
      </c>
      <c r="M53">
        <f>IF(M51&gt;0,VLOOKUP(M51,$S$7:$T$13,2,TRUE),0)</f>
        <v>0</v>
      </c>
      <c r="N53">
        <f>IF(N51&gt;0,VLOOKUP(N51,$S$7:$T$13,2,TRUE),0)</f>
        <v>0</v>
      </c>
    </row>
    <row r="54" spans="1:17" ht="13.15" x14ac:dyDescent="0.4">
      <c r="A54">
        <v>67</v>
      </c>
      <c r="B54">
        <v>7.6</v>
      </c>
      <c r="C54">
        <v>14.9</v>
      </c>
      <c r="E54">
        <v>66</v>
      </c>
      <c r="F54">
        <v>9.6</v>
      </c>
      <c r="G54">
        <v>16.8</v>
      </c>
      <c r="J54" s="1" t="s">
        <v>107</v>
      </c>
      <c r="K54">
        <f>IF('Optional ABPs'!B50&lt;(DATA!K50-29),ROUND(K52*K53*K47/K48/10,0)*10,0)</f>
        <v>0</v>
      </c>
      <c r="L54">
        <f>IF('Optional ABPs'!C50&lt;(DATA!L50-29),ROUND(L52*L53*L47/L48/10,0)*10,0)</f>
        <v>0</v>
      </c>
      <c r="M54">
        <f>IF('Optional ABPs'!D50&lt;(DATA!M50-29),ROUND(M52*M53*M47/M48/10,0)*10,0)</f>
        <v>0</v>
      </c>
      <c r="N54">
        <f>IF('Optional ABPs'!E50&lt;(DATA!N50-29),ROUND(N52*N53*N47/N48/10,0)*10,0)</f>
        <v>0</v>
      </c>
    </row>
    <row r="55" spans="1:17" ht="13.15" x14ac:dyDescent="0.4">
      <c r="A55">
        <v>68</v>
      </c>
      <c r="B55">
        <v>7.3</v>
      </c>
      <c r="C55">
        <v>14.4</v>
      </c>
      <c r="E55">
        <v>67</v>
      </c>
      <c r="F55">
        <v>9.3000000000000007</v>
      </c>
      <c r="G55">
        <v>16.399999999999999</v>
      </c>
      <c r="J55" s="1" t="s">
        <v>108</v>
      </c>
      <c r="K55" s="23">
        <f>IF('Optional ABPs'!B52="N",K52,IF(K51&lt;65,0.1*K52,K52))</f>
        <v>0</v>
      </c>
      <c r="L55" s="23">
        <f>IF('Optional ABPs'!C52="N",L52,IF(L51&lt;65,0.1*L52,L52))</f>
        <v>0</v>
      </c>
      <c r="M55" s="23">
        <f>IF('Optional ABPs'!D52="N",M52,IF(M51&lt;65,0.1*M52,M52))</f>
        <v>0</v>
      </c>
      <c r="N55" s="23">
        <f>IF('Optional ABPs'!E52="N",N52,IF(N51&lt;65,0.1*N52,N52))</f>
        <v>0</v>
      </c>
    </row>
    <row r="56" spans="1:17" x14ac:dyDescent="0.35">
      <c r="A56">
        <v>69</v>
      </c>
      <c r="B56">
        <v>7</v>
      </c>
      <c r="C56">
        <v>14</v>
      </c>
      <c r="E56">
        <v>68</v>
      </c>
      <c r="F56">
        <v>9.1</v>
      </c>
      <c r="G56">
        <v>16</v>
      </c>
    </row>
    <row r="57" spans="1:17" ht="13.15" x14ac:dyDescent="0.4">
      <c r="A57">
        <v>70</v>
      </c>
      <c r="B57">
        <v>6.6</v>
      </c>
      <c r="C57">
        <v>13.5</v>
      </c>
      <c r="E57">
        <v>69</v>
      </c>
      <c r="F57">
        <v>8.6999999999999993</v>
      </c>
      <c r="G57">
        <v>15.5</v>
      </c>
      <c r="J57" s="1" t="s">
        <v>126</v>
      </c>
      <c r="K57">
        <f>IF(('Optional ABPs'!B12-K15)&gt;=0,0,IF(('Optional ABPs'!B12-K15)&gt;-11,1,2))</f>
        <v>0</v>
      </c>
      <c r="L57">
        <f>IF(('Optional ABPs'!C12-L15)&gt;=0,0,IF(('Optional ABPs'!C12-L15)&gt;-11,1,2))</f>
        <v>0</v>
      </c>
      <c r="M57">
        <f>IF(('Optional ABPs'!D12-M15)&gt;=0,0,IF(('Optional ABPs'!D12-M15)&gt;-11,1,2))</f>
        <v>0</v>
      </c>
      <c r="N57">
        <f>IF(('Optional ABPs'!E12-N15)&gt;=0,0,IF(('Optional ABPs'!E12-N15)&gt;-11,1,2))</f>
        <v>0</v>
      </c>
    </row>
    <row r="58" spans="1:17" ht="13.15" x14ac:dyDescent="0.4">
      <c r="A58">
        <v>71</v>
      </c>
      <c r="B58">
        <v>6.2</v>
      </c>
      <c r="C58">
        <v>13.1</v>
      </c>
      <c r="E58">
        <v>70</v>
      </c>
      <c r="F58">
        <v>8.4</v>
      </c>
      <c r="G58">
        <v>15.1</v>
      </c>
      <c r="J58" s="1" t="s">
        <v>117</v>
      </c>
      <c r="K58">
        <f>IF(('Optional ABPs'!B26-K28)&gt;=0,0,IF(('Optional ABPs'!B26-K28)&gt;-11,1,2))</f>
        <v>0</v>
      </c>
      <c r="L58">
        <f>IF(('Optional ABPs'!C26-L28)&gt;=0,0,IF(('Optional ABPs'!C26-L28)&gt;-11,1,2))</f>
        <v>0</v>
      </c>
      <c r="M58">
        <f>IF(('Optional ABPs'!D26-M28)&gt;=0,0,IF(('Optional ABPs'!D26-M28)&gt;-11,1,2))</f>
        <v>0</v>
      </c>
      <c r="N58">
        <f>IF(('Optional ABPs'!E26-N28)&gt;=0,0,IF(('Optional ABPs'!E26-N28)&gt;-11,1,2))</f>
        <v>0</v>
      </c>
    </row>
    <row r="59" spans="1:17" ht="13.15" x14ac:dyDescent="0.4">
      <c r="A59">
        <v>72</v>
      </c>
      <c r="B59">
        <v>5.8</v>
      </c>
      <c r="C59">
        <v>12.6</v>
      </c>
      <c r="E59">
        <v>71</v>
      </c>
      <c r="F59">
        <v>8</v>
      </c>
      <c r="G59">
        <v>14.6</v>
      </c>
      <c r="J59" s="1" t="s">
        <v>118</v>
      </c>
      <c r="K59">
        <f>IF(('Optional ABPs'!B40-K41)&gt;=0,0,IF(('Optional ABPs'!B40-K41)&gt;-11,1,2))</f>
        <v>0</v>
      </c>
      <c r="L59">
        <f>IF(('Optional ABPs'!C40-L41)&gt;=0,0,IF(('Optional ABPs'!C40-L41)&gt;-11,1,2))</f>
        <v>0</v>
      </c>
      <c r="M59">
        <f>IF(('Optional ABPs'!D40-M41)&gt;=0,0,IF(('Optional ABPs'!D40-M41)&gt;-11,1,2))</f>
        <v>0</v>
      </c>
      <c r="N59">
        <f>IF(('Optional ABPs'!E40-N41)&gt;=0,0,IF(('Optional ABPs'!E40-N41)&gt;-11,1,2))</f>
        <v>0</v>
      </c>
    </row>
    <row r="60" spans="1:17" ht="13.15" x14ac:dyDescent="0.4">
      <c r="A60">
        <v>73</v>
      </c>
      <c r="B60">
        <v>5.4</v>
      </c>
      <c r="C60">
        <v>12.2</v>
      </c>
      <c r="E60">
        <v>72</v>
      </c>
      <c r="F60">
        <v>7.6</v>
      </c>
      <c r="G60">
        <v>14.2</v>
      </c>
      <c r="J60" s="1" t="s">
        <v>119</v>
      </c>
      <c r="K60">
        <f>IF(('Optional ABPs'!B54-K54)&gt;=0,0,IF(('Optional ABPs'!B54-K54)&gt;-11,1,2))</f>
        <v>0</v>
      </c>
      <c r="L60">
        <f>IF(('Optional ABPs'!C54-L54)&gt;=0,0,IF(('Optional ABPs'!C54-L54)&gt;-11,1,2))</f>
        <v>0</v>
      </c>
      <c r="M60">
        <f>IF(('Optional ABPs'!D54-M54)&gt;=0,0,IF(('Optional ABPs'!D54-M54)&gt;-11,1,2))</f>
        <v>0</v>
      </c>
      <c r="N60">
        <f>IF(('Optional ABPs'!E54-N54)&gt;=0,0,IF(('Optional ABPs'!E54-N54)&gt;-11,1,2))</f>
        <v>0</v>
      </c>
    </row>
    <row r="61" spans="1:17" x14ac:dyDescent="0.35">
      <c r="A61">
        <v>74</v>
      </c>
      <c r="B61">
        <v>4.8</v>
      </c>
      <c r="C61">
        <v>11.7</v>
      </c>
      <c r="E61">
        <v>73</v>
      </c>
      <c r="F61">
        <v>7.2</v>
      </c>
      <c r="G61">
        <v>13.7</v>
      </c>
    </row>
    <row r="62" spans="1:17" ht="13.15" x14ac:dyDescent="0.4">
      <c r="A62">
        <v>75</v>
      </c>
      <c r="B62">
        <v>4.3</v>
      </c>
      <c r="C62">
        <v>11.3</v>
      </c>
      <c r="E62">
        <v>74</v>
      </c>
      <c r="F62">
        <v>6.7</v>
      </c>
      <c r="G62">
        <v>13.3</v>
      </c>
      <c r="J62" s="1" t="s">
        <v>127</v>
      </c>
      <c r="K62" s="23">
        <f>IF(UPPER('Optional ABPs'!B10)="Y",IF((K16-'Optional ABPs'!B12)&gt;=0,0,IF((K16-'Optional ABPs'!B12)&gt;-11,1,2)),0)</f>
        <v>0</v>
      </c>
      <c r="L62" s="23">
        <f>IF(UPPER('Optional ABPs'!C10)="Y",IF((L16-'Optional ABPs'!C12)&gt;=0,0,IF((L16-'Optional ABPs'!C12)&gt;-11,1,2)),0)</f>
        <v>0</v>
      </c>
      <c r="M62" s="23">
        <f>IF(UPPER('Optional ABPs'!D10)="Y",IF((M16-'Optional ABPs'!D12)&gt;=0,0,IF((M16-'Optional ABPs'!D12)&gt;-11,1,2)),0)</f>
        <v>0</v>
      </c>
      <c r="N62" s="23">
        <f>IF(UPPER('Optional ABPs'!E10)="Y",IF((N16-'Optional ABPs'!E12)&gt;=0,0,IF((N16-'Optional ABPs'!E12)&gt;-11,1,2)),0)</f>
        <v>0</v>
      </c>
    </row>
    <row r="63" spans="1:17" ht="13.15" x14ac:dyDescent="0.4">
      <c r="A63">
        <v>76</v>
      </c>
      <c r="B63">
        <v>3.7</v>
      </c>
      <c r="C63">
        <v>10.8</v>
      </c>
      <c r="E63">
        <v>75</v>
      </c>
      <c r="F63">
        <v>6.2</v>
      </c>
      <c r="G63">
        <v>12.8</v>
      </c>
      <c r="J63" s="1" t="s">
        <v>123</v>
      </c>
      <c r="K63" s="23">
        <f>IF(UPPER('Optional ABPs'!B24)="Y",IF((K29-'Optional ABPs'!B26)&gt;=0,0,IF((K29-'Optional ABPs'!B26)&gt;-11,1,2)),0)</f>
        <v>0</v>
      </c>
      <c r="L63" s="23">
        <f>IF(UPPER('Optional ABPs'!C24)="Y",IF((L29-'Optional ABPs'!C26)&gt;=0,0,IF((L29-'Optional ABPs'!C26)&gt;-11,1,2)),0)</f>
        <v>0</v>
      </c>
      <c r="M63" s="23">
        <f>IF(UPPER('Optional ABPs'!D24)="Y",IF((M29-'Optional ABPs'!D26)&gt;=0,0,IF((M29-'Optional ABPs'!D26)&gt;-11,1,2)),0)</f>
        <v>0</v>
      </c>
      <c r="N63" s="23">
        <f>IF(UPPER('Optional ABPs'!E24)="Y",IF((N29-'Optional ABPs'!E26)&gt;=0,0,IF((N29-'Optional ABPs'!E26)&gt;-11,1,2)),0)</f>
        <v>0</v>
      </c>
    </row>
    <row r="64" spans="1:17" ht="13.15" x14ac:dyDescent="0.4">
      <c r="A64">
        <v>77</v>
      </c>
      <c r="B64">
        <v>3</v>
      </c>
      <c r="C64">
        <v>10.4</v>
      </c>
      <c r="E64">
        <v>76</v>
      </c>
      <c r="F64">
        <v>5.7</v>
      </c>
      <c r="G64">
        <v>12.3</v>
      </c>
      <c r="J64" s="1" t="s">
        <v>124</v>
      </c>
      <c r="K64" s="23">
        <f>IF(UPPER('Optional ABPs'!B38)="Y",IF((K42-'Optional ABPs'!B40)&gt;=0,0,IF((K42-'Optional ABPs'!B40)&gt;-11,1,2)),0)</f>
        <v>0</v>
      </c>
      <c r="L64" s="23">
        <f>IF(UPPER('Optional ABPs'!C38)="Y",IF((L42-'Optional ABPs'!C40)&gt;=0,0,IF((L42-'Optional ABPs'!C40)&gt;-11,1,2)),0)</f>
        <v>0</v>
      </c>
      <c r="M64" s="23">
        <f>IF(UPPER('Optional ABPs'!D38)="Y",IF((M42-'Optional ABPs'!D40)&gt;=0,0,IF((M42-'Optional ABPs'!D40)&gt;-11,1,2)),0)</f>
        <v>0</v>
      </c>
      <c r="N64" s="23">
        <f>IF(UPPER('Optional ABPs'!E38)="Y",IF((N42-'Optional ABPs'!E40)&gt;=0,0,IF((N42-'Optional ABPs'!E40)&gt;-11,1,2)),0)</f>
        <v>0</v>
      </c>
    </row>
    <row r="65" spans="1:14" ht="13.15" x14ac:dyDescent="0.4">
      <c r="A65">
        <v>78</v>
      </c>
      <c r="B65">
        <v>2.2000000000000002</v>
      </c>
      <c r="C65">
        <v>10</v>
      </c>
      <c r="E65">
        <v>77</v>
      </c>
      <c r="F65">
        <v>5.0999999999999996</v>
      </c>
      <c r="G65">
        <v>11.9</v>
      </c>
      <c r="J65" s="1" t="s">
        <v>125</v>
      </c>
      <c r="K65" s="23">
        <f>IF('Optional ABPs'!B52="Y",IF((K55-'Optional ABPs'!B54)&gt;=0,0,IF((K55-'Optional ABPs'!B54)&gt;-11,1,2)),0)</f>
        <v>0</v>
      </c>
      <c r="L65" s="23">
        <f>IF('Optional ABPs'!C52="Y",IF((L55-'Optional ABPs'!C54)&gt;=0,0,IF((L55-'Optional ABPs'!C54)&gt;-11,1,2)),0)</f>
        <v>0</v>
      </c>
      <c r="M65" s="23">
        <f>IF('Optional ABPs'!D52="Y",IF((M55-'Optional ABPs'!D54)&gt;=0,0,IF((M55-'Optional ABPs'!D54)&gt;-11,1,2)),0)</f>
        <v>0</v>
      </c>
      <c r="N65" s="23">
        <f>IF('Optional ABPs'!E52="Y",IF((N55-'Optional ABPs'!E54)&gt;=0,0,IF((N55-'Optional ABPs'!E54)&gt;-11,1,2)),0)</f>
        <v>0</v>
      </c>
    </row>
    <row r="66" spans="1:14" x14ac:dyDescent="0.35">
      <c r="A66">
        <v>79</v>
      </c>
      <c r="B66">
        <v>1.4</v>
      </c>
      <c r="C66">
        <v>9.5</v>
      </c>
      <c r="E66">
        <v>78</v>
      </c>
      <c r="F66">
        <v>4.5</v>
      </c>
      <c r="G66">
        <v>11.4</v>
      </c>
    </row>
    <row r="67" spans="1:14" ht="13.15" x14ac:dyDescent="0.4">
      <c r="A67">
        <v>80</v>
      </c>
      <c r="B67">
        <v>1</v>
      </c>
      <c r="C67">
        <v>9.1</v>
      </c>
      <c r="E67">
        <v>79</v>
      </c>
      <c r="F67">
        <v>3.8</v>
      </c>
      <c r="G67">
        <v>10.9</v>
      </c>
      <c r="J67" s="1" t="s">
        <v>128</v>
      </c>
      <c r="K67" s="23" t="str">
        <f>IF((K57+K62)&gt;0,IF((K57+K62)&gt;1,"WARNING",""),"OK")</f>
        <v>OK</v>
      </c>
      <c r="L67" s="23" t="str">
        <f t="shared" ref="L67:N70" si="4">IF((L57+L62)&gt;0,IF((L57+L62)&gt;1,"WARNING",""),"OK")</f>
        <v>OK</v>
      </c>
      <c r="M67" s="23" t="str">
        <f t="shared" si="4"/>
        <v>OK</v>
      </c>
      <c r="N67" s="23" t="str">
        <f t="shared" si="4"/>
        <v>OK</v>
      </c>
    </row>
    <row r="68" spans="1:14" ht="13.15" x14ac:dyDescent="0.4">
      <c r="A68">
        <v>81</v>
      </c>
      <c r="B68">
        <v>1</v>
      </c>
      <c r="C68">
        <v>8.6999999999999993</v>
      </c>
      <c r="E68">
        <v>80</v>
      </c>
      <c r="F68">
        <v>3.1</v>
      </c>
      <c r="G68">
        <v>10.5</v>
      </c>
      <c r="J68" s="1" t="s">
        <v>120</v>
      </c>
      <c r="K68" s="23" t="str">
        <f>IF((K58+K63)&gt;0,IF((K58+K63)&gt;1,"WARNING",""),"OK")</f>
        <v>OK</v>
      </c>
      <c r="L68" s="23" t="str">
        <f t="shared" si="4"/>
        <v>OK</v>
      </c>
      <c r="M68" s="23" t="str">
        <f t="shared" si="4"/>
        <v>OK</v>
      </c>
      <c r="N68" s="23" t="str">
        <f t="shared" si="4"/>
        <v>OK</v>
      </c>
    </row>
    <row r="69" spans="1:14" ht="13.15" x14ac:dyDescent="0.4">
      <c r="A69">
        <v>82</v>
      </c>
      <c r="B69">
        <v>1</v>
      </c>
      <c r="C69">
        <v>8.3000000000000007</v>
      </c>
      <c r="E69">
        <v>81</v>
      </c>
      <c r="F69">
        <v>2.2999999999999998</v>
      </c>
      <c r="G69">
        <v>10</v>
      </c>
      <c r="J69" s="1" t="s">
        <v>121</v>
      </c>
      <c r="K69" s="23" t="str">
        <f>IF((K59+K64)&gt;0,IF((K59+K64)&gt;1,"WARNING",""),"OK")</f>
        <v>OK</v>
      </c>
      <c r="L69" s="23" t="str">
        <f t="shared" si="4"/>
        <v>OK</v>
      </c>
      <c r="M69" s="23" t="str">
        <f t="shared" si="4"/>
        <v>OK</v>
      </c>
      <c r="N69" s="23" t="str">
        <f t="shared" si="4"/>
        <v>OK</v>
      </c>
    </row>
    <row r="70" spans="1:14" ht="13.15" x14ac:dyDescent="0.4">
      <c r="A70">
        <v>83</v>
      </c>
      <c r="B70">
        <v>1</v>
      </c>
      <c r="C70">
        <v>7.9</v>
      </c>
      <c r="E70">
        <v>82</v>
      </c>
      <c r="F70">
        <v>1.4</v>
      </c>
      <c r="G70">
        <v>9.6</v>
      </c>
      <c r="J70" s="1" t="s">
        <v>122</v>
      </c>
      <c r="K70" s="23" t="str">
        <f>IF((K60+K65)&gt;0,IF((K60+K65)&gt;1,"WARNING",""),"OK")</f>
        <v>OK</v>
      </c>
      <c r="L70" s="23" t="str">
        <f t="shared" si="4"/>
        <v>OK</v>
      </c>
      <c r="M70" s="23" t="str">
        <f t="shared" si="4"/>
        <v>OK</v>
      </c>
      <c r="N70" s="23" t="str">
        <f t="shared" si="4"/>
        <v>OK</v>
      </c>
    </row>
    <row r="71" spans="1:14" x14ac:dyDescent="0.35">
      <c r="A71">
        <v>84</v>
      </c>
      <c r="B71">
        <v>1</v>
      </c>
      <c r="C71">
        <v>7.5</v>
      </c>
      <c r="E71">
        <v>83</v>
      </c>
      <c r="F71">
        <v>1</v>
      </c>
      <c r="G71">
        <v>9.1</v>
      </c>
    </row>
    <row r="72" spans="1:14" ht="13.15" x14ac:dyDescent="0.4">
      <c r="A72">
        <v>85</v>
      </c>
      <c r="B72">
        <v>1</v>
      </c>
      <c r="C72">
        <v>7.1</v>
      </c>
      <c r="E72">
        <v>84</v>
      </c>
      <c r="F72">
        <v>1</v>
      </c>
      <c r="G72">
        <v>8.6999999999999993</v>
      </c>
      <c r="J72" s="1" t="s">
        <v>16</v>
      </c>
    </row>
    <row r="73" spans="1:14" x14ac:dyDescent="0.35">
      <c r="A73">
        <v>86</v>
      </c>
      <c r="B73">
        <v>1</v>
      </c>
      <c r="C73">
        <v>6.8</v>
      </c>
      <c r="E73">
        <v>85</v>
      </c>
      <c r="F73">
        <v>1</v>
      </c>
      <c r="G73">
        <v>8.3000000000000007</v>
      </c>
      <c r="K73" t="s">
        <v>17</v>
      </c>
      <c r="L73" t="s">
        <v>18</v>
      </c>
      <c r="M73" t="s">
        <v>19</v>
      </c>
      <c r="N73" t="s">
        <v>20</v>
      </c>
    </row>
    <row r="74" spans="1:14" ht="13.15" x14ac:dyDescent="0.4">
      <c r="A74">
        <v>87</v>
      </c>
      <c r="B74">
        <v>1</v>
      </c>
      <c r="C74">
        <v>6.4</v>
      </c>
      <c r="E74">
        <v>86</v>
      </c>
      <c r="F74">
        <v>1</v>
      </c>
      <c r="G74">
        <v>7.9</v>
      </c>
      <c r="J74" s="1" t="s">
        <v>104</v>
      </c>
      <c r="K74" s="3">
        <f>IF('Optional AP MLP'!B11="",DATA!K78,'Optional AP MLP'!B11)</f>
        <v>46203</v>
      </c>
      <c r="L74" s="3">
        <f>IF('Optional AP MLP'!C11="",DATA!L78,'Optional AP MLP'!C11)</f>
        <v>46203</v>
      </c>
      <c r="M74" s="3">
        <f>IF('Optional AP MLP'!D11="",DATA!M78,'Optional AP MLP'!D11)</f>
        <v>46203</v>
      </c>
      <c r="N74" s="3">
        <f>IF('Optional AP MLP'!E11="",DATA!N78,'Optional AP MLP'!E11)</f>
        <v>46203</v>
      </c>
    </row>
    <row r="75" spans="1:14" ht="13.15" x14ac:dyDescent="0.4">
      <c r="A75">
        <v>88</v>
      </c>
      <c r="B75">
        <v>1</v>
      </c>
      <c r="C75">
        <v>6.1</v>
      </c>
      <c r="E75">
        <v>87</v>
      </c>
      <c r="F75">
        <v>1</v>
      </c>
      <c r="G75">
        <v>7.5</v>
      </c>
      <c r="J75" s="1" t="s">
        <v>5</v>
      </c>
      <c r="K75" s="5">
        <f>(K74-'Optional AP MLP'!B8)+1</f>
        <v>365</v>
      </c>
      <c r="L75" s="5">
        <f>(L74-'Optional AP MLP'!C8)+1</f>
        <v>365</v>
      </c>
      <c r="M75" s="5">
        <f>(M74-'Optional AP MLP'!D8)+1</f>
        <v>365</v>
      </c>
      <c r="N75" s="5">
        <f>(N74-'Optional AP MLP'!E8)+1</f>
        <v>365</v>
      </c>
    </row>
    <row r="76" spans="1:14" ht="13.15" x14ac:dyDescent="0.4">
      <c r="A76">
        <v>89</v>
      </c>
      <c r="B76">
        <v>1</v>
      </c>
      <c r="C76">
        <v>5.8</v>
      </c>
      <c r="E76">
        <v>88</v>
      </c>
      <c r="F76">
        <v>1</v>
      </c>
      <c r="G76">
        <v>7.2</v>
      </c>
      <c r="J76" s="1" t="s">
        <v>6</v>
      </c>
      <c r="K76">
        <f t="shared" ref="K76:N76" si="5">K78-K77+1</f>
        <v>365</v>
      </c>
      <c r="L76">
        <f t="shared" si="5"/>
        <v>365</v>
      </c>
      <c r="M76">
        <f t="shared" si="5"/>
        <v>365</v>
      </c>
      <c r="N76">
        <f t="shared" si="5"/>
        <v>365</v>
      </c>
    </row>
    <row r="77" spans="1:14" ht="13.15" x14ac:dyDescent="0.4">
      <c r="A77">
        <v>90</v>
      </c>
      <c r="B77">
        <v>1</v>
      </c>
      <c r="C77">
        <v>5.5</v>
      </c>
      <c r="E77">
        <v>89</v>
      </c>
      <c r="F77">
        <v>1</v>
      </c>
      <c r="G77">
        <v>6.9</v>
      </c>
      <c r="J77" s="1" t="s">
        <v>7</v>
      </c>
      <c r="K77" s="3">
        <f>DATE(IF(MONTH('Optional AP MLP'!B8)&gt;6,YEAR('Optional AP MLP'!B8),YEAR('Optional AP MLP'!B8)-1),7,1)</f>
        <v>45839</v>
      </c>
      <c r="L77" s="3">
        <f>DATE(IF(MONTH('Optional AP MLP'!C8)&gt;6,YEAR('Optional AP MLP'!C8),YEAR('Optional AP MLP'!C8)-1),7,1)</f>
        <v>45839</v>
      </c>
      <c r="M77" s="3">
        <f>DATE(IF(MONTH('Optional AP MLP'!D8)&gt;6,YEAR('Optional AP MLP'!D8),YEAR('Optional AP MLP'!D8)-1),7,1)</f>
        <v>45839</v>
      </c>
      <c r="N77" s="3">
        <f>DATE(IF(MONTH('Optional AP MLP'!E8)&gt;6,YEAR('Optional AP MLP'!E8),YEAR('Optional AP MLP'!E8)-1),7,1)</f>
        <v>45839</v>
      </c>
    </row>
    <row r="78" spans="1:14" ht="13.15" x14ac:dyDescent="0.4">
      <c r="A78">
        <v>91</v>
      </c>
      <c r="B78">
        <v>1</v>
      </c>
      <c r="C78">
        <v>5.3</v>
      </c>
      <c r="E78">
        <v>90</v>
      </c>
      <c r="F78">
        <v>1</v>
      </c>
      <c r="G78">
        <v>6.6</v>
      </c>
      <c r="J78" s="1" t="s">
        <v>8</v>
      </c>
      <c r="K78" s="3">
        <f>DATE(IF(MONTH('Optional AP MLP'!B8)&gt;6,YEAR('Optional AP MLP'!B8)+1,YEAR('Optional AP MLP'!B8)),6,30)</f>
        <v>46203</v>
      </c>
      <c r="L78" s="3">
        <f>DATE(IF(MONTH('Optional AP MLP'!C8)&gt;6,YEAR('Optional AP MLP'!C8)+1,YEAR('Optional AP MLP'!C8)),6,30)</f>
        <v>46203</v>
      </c>
      <c r="M78" s="3">
        <f>DATE(IF(MONTH('Optional AP MLP'!D8)&gt;6,YEAR('Optional AP MLP'!D8)+1,YEAR('Optional AP MLP'!D8)),6,30)</f>
        <v>46203</v>
      </c>
      <c r="N78" s="3">
        <f>DATE(IF(MONTH('Optional AP MLP'!E8)&gt;6,YEAR('Optional AP MLP'!E8)+1,YEAR('Optional AP MLP'!E8)),6,30)</f>
        <v>46203</v>
      </c>
    </row>
    <row r="79" spans="1:14" ht="13.15" x14ac:dyDescent="0.4">
      <c r="A79">
        <v>92</v>
      </c>
      <c r="B79">
        <v>1</v>
      </c>
      <c r="C79">
        <v>5</v>
      </c>
      <c r="E79">
        <v>91</v>
      </c>
      <c r="F79">
        <v>1</v>
      </c>
      <c r="G79">
        <v>6.3</v>
      </c>
      <c r="J79" s="1" t="s">
        <v>105</v>
      </c>
      <c r="K79">
        <f>IF('Optional AP MLP'!B7&lt;&gt;"",INT(YEAR('Optional AP MLP'!B8)-YEAR('Optional AP MLP'!B7)+(MONTH('Optional AP MLP'!B8)-MONTH('Optional AP MLP'!B7))/12+(DAY('Optional AP MLP'!B8)-DAY('Optional AP MLP'!B7))/365),0)</f>
        <v>0</v>
      </c>
      <c r="L79">
        <f>IF('Optional AP MLP'!C7&lt;&gt;"",INT(YEAR('Optional AP MLP'!C8)-YEAR('Optional AP MLP'!C7)+(MONTH('Optional AP MLP'!C8)-MONTH('Optional AP MLP'!C7))/12+(DAY('Optional AP MLP'!C8)-DAY('Optional AP MLP'!C7))/365),0)</f>
        <v>0</v>
      </c>
      <c r="M79">
        <f>IF('Optional AP MLP'!D7&lt;&gt;"",INT(YEAR('Optional AP MLP'!D8)-YEAR('Optional AP MLP'!D7)+(MONTH('Optional AP MLP'!D8)-MONTH('Optional AP MLP'!D7))/12+(DAY('Optional AP MLP'!D8)-DAY('Optional AP MLP'!D7))/365),0)</f>
        <v>0</v>
      </c>
      <c r="N79">
        <f>IF('Optional AP MLP'!E7&lt;&gt;"",INT(YEAR('Optional AP MLP'!E8)-YEAR('Optional AP MLP'!E7)+(MONTH('Optional AP MLP'!E8)-MONTH('Optional AP MLP'!E7))/12+(DAY('Optional AP MLP'!E8)-DAY('Optional AP MLP'!E7))/365),0)</f>
        <v>0</v>
      </c>
    </row>
    <row r="80" spans="1:14" ht="13.15" x14ac:dyDescent="0.4">
      <c r="A80">
        <v>93</v>
      </c>
      <c r="B80">
        <v>1</v>
      </c>
      <c r="C80">
        <v>4.8</v>
      </c>
      <c r="E80">
        <v>92</v>
      </c>
      <c r="F80">
        <v>1</v>
      </c>
      <c r="G80">
        <v>6</v>
      </c>
      <c r="J80" s="1" t="s">
        <v>99</v>
      </c>
      <c r="K80">
        <f>IF('Optional AP MLP'!B9&lt;&gt;"",'Optional AP MLP'!B9,0)</f>
        <v>0</v>
      </c>
      <c r="L80">
        <f>IF('Optional AP MLP'!C9&lt;&gt;"",'Optional AP MLP'!C9,0)</f>
        <v>0</v>
      </c>
      <c r="M80">
        <f>IF('Optional AP MLP'!D9&lt;&gt;"",'Optional AP MLP'!D9,0)</f>
        <v>0</v>
      </c>
      <c r="N80">
        <f>IF('Optional AP MLP'!E9&lt;&gt;"",'Optional AP MLP'!E9,0)</f>
        <v>0</v>
      </c>
    </row>
    <row r="81" spans="1:14" ht="13.15" x14ac:dyDescent="0.4">
      <c r="A81">
        <v>94</v>
      </c>
      <c r="B81">
        <v>1</v>
      </c>
      <c r="C81">
        <v>4.5999999999999996</v>
      </c>
      <c r="E81">
        <v>93</v>
      </c>
      <c r="F81">
        <v>1</v>
      </c>
      <c r="G81">
        <v>5.8</v>
      </c>
      <c r="J81" s="1" t="s">
        <v>2</v>
      </c>
      <c r="K81">
        <f>IF(K79&gt;0,IF(UPPER('Optional AP MLP'!B10)="O",VLOOKUP(K79,DATA!$A$7:$C$88,3,TRUE),VLOOKUP(K79,DATA!$E$7:$G$89,3,TRUE)),1)</f>
        <v>1</v>
      </c>
      <c r="L81">
        <f>IF(L79&gt;0,IF(UPPER('Optional AP MLP'!C10)="O",VLOOKUP(L79,DATA!$A$7:$C$88,3,TRUE),VLOOKUP(L79,DATA!$E$7:$G$89,3,TRUE)),1)</f>
        <v>1</v>
      </c>
      <c r="M81">
        <f>IF(M79&gt;0,IF(UPPER('Optional AP MLP'!D10)="O",VLOOKUP(M79,DATA!$A$7:$C$88,3,TRUE),VLOOKUP(M79,DATA!$E$7:$G$89,3,TRUE)),1)</f>
        <v>1</v>
      </c>
      <c r="N81">
        <f>IF(N79&gt;0,IF(UPPER('Optional AP MLP'!E10)="O",VLOOKUP(N79,DATA!$A$7:$C$88,3,TRUE),VLOOKUP(N79,DATA!$E$7:$G$89,3,TRUE)),1)</f>
        <v>1</v>
      </c>
    </row>
    <row r="82" spans="1:14" ht="13.15" x14ac:dyDescent="0.4">
      <c r="A82">
        <v>95</v>
      </c>
      <c r="B82">
        <v>1</v>
      </c>
      <c r="C82">
        <v>4.4000000000000004</v>
      </c>
      <c r="E82">
        <v>94</v>
      </c>
      <c r="F82">
        <v>1</v>
      </c>
      <c r="G82">
        <v>5.5</v>
      </c>
      <c r="J82" s="1" t="s">
        <v>3</v>
      </c>
      <c r="K82">
        <f>IF(K79&gt;0,IF(UPPER('Optional AP MLP'!B10)="O",VLOOKUP(K79,DATA!$A$7:$C$88,2,TRUE),VLOOKUP(K79,DATA!$E$7:$G$89,2,TRUE)),1)</f>
        <v>1</v>
      </c>
      <c r="L82">
        <f>IF(L79&gt;0,IF(UPPER('Optional AP MLP'!C10)="O",VLOOKUP(L79,DATA!$A$7:$C$88,2,TRUE),VLOOKUP(L79,DATA!$E$7:$G$89,2,TRUE)),1)</f>
        <v>1</v>
      </c>
      <c r="M82">
        <f>IF(M79&gt;0,IF(UPPER('Optional AP MLP'!D10)="O",VLOOKUP(M79,DATA!$A$7:$C$88,2,TRUE),VLOOKUP(M79,DATA!$E$7:$G$89,2,TRUE)),1)</f>
        <v>1</v>
      </c>
      <c r="N82">
        <f>IF(N79&gt;0,IF(UPPER('Optional AP MLP'!E10)="O",VLOOKUP(N79,DATA!$A$7:$C$88,2,TRUE),VLOOKUP(N79,DATA!$E$7:$G$89,2,TRUE)),1)</f>
        <v>1</v>
      </c>
    </row>
    <row r="83" spans="1:14" ht="13.15" x14ac:dyDescent="0.4">
      <c r="A83">
        <v>96</v>
      </c>
      <c r="B83">
        <v>1</v>
      </c>
      <c r="C83">
        <v>4.2</v>
      </c>
      <c r="E83">
        <v>95</v>
      </c>
      <c r="F83">
        <v>1</v>
      </c>
      <c r="G83">
        <v>5.3</v>
      </c>
      <c r="J83" s="1" t="s">
        <v>134</v>
      </c>
      <c r="K83">
        <f>IF(K75&gt;30,IF(K80&gt;0,ROUND(K80/K81*K75/K76/10,0)*10,0),0)</f>
        <v>0</v>
      </c>
      <c r="L83">
        <f t="shared" ref="L83:N83" si="6">IF(L75&gt;30,IF(L80&gt;0,ROUND(L80/L81*L75/L76/10,0)*10,0),0)</f>
        <v>0</v>
      </c>
      <c r="M83">
        <f t="shared" si="6"/>
        <v>0</v>
      </c>
      <c r="N83">
        <f t="shared" si="6"/>
        <v>0</v>
      </c>
    </row>
    <row r="84" spans="1:14" ht="13.15" x14ac:dyDescent="0.4">
      <c r="A84">
        <v>97</v>
      </c>
      <c r="B84">
        <v>1</v>
      </c>
      <c r="C84">
        <v>4</v>
      </c>
      <c r="E84">
        <v>96</v>
      </c>
      <c r="F84">
        <v>1</v>
      </c>
      <c r="G84">
        <v>5.0999999999999996</v>
      </c>
      <c r="J84" s="1" t="s">
        <v>336</v>
      </c>
      <c r="K84">
        <f>IF(K80&gt;0,ROUND(K80/K82*K75/K76/10,0)*10,0)</f>
        <v>0</v>
      </c>
      <c r="L84">
        <f t="shared" ref="L84:N84" si="7">IF(L80&gt;0,ROUND(L80/L82*L75/L76/10,0)*10,0)</f>
        <v>0</v>
      </c>
      <c r="M84">
        <f t="shared" si="7"/>
        <v>0</v>
      </c>
      <c r="N84">
        <f t="shared" si="7"/>
        <v>0</v>
      </c>
    </row>
    <row r="85" spans="1:14" x14ac:dyDescent="0.35">
      <c r="A85">
        <v>98</v>
      </c>
      <c r="B85">
        <v>1</v>
      </c>
      <c r="C85">
        <v>3.8</v>
      </c>
      <c r="E85">
        <v>97</v>
      </c>
      <c r="F85">
        <v>1</v>
      </c>
      <c r="G85">
        <v>4.9000000000000004</v>
      </c>
    </row>
    <row r="86" spans="1:14" ht="13.15" x14ac:dyDescent="0.4">
      <c r="A86">
        <v>99</v>
      </c>
      <c r="B86">
        <v>1</v>
      </c>
      <c r="C86">
        <v>3.7</v>
      </c>
      <c r="E86">
        <v>98</v>
      </c>
      <c r="F86">
        <v>1</v>
      </c>
      <c r="G86">
        <v>4.7</v>
      </c>
      <c r="J86" s="1" t="s">
        <v>135</v>
      </c>
    </row>
    <row r="87" spans="1:14" x14ac:dyDescent="0.35">
      <c r="A87">
        <v>100</v>
      </c>
      <c r="B87">
        <v>1</v>
      </c>
      <c r="C87">
        <v>3.5</v>
      </c>
      <c r="E87">
        <v>99</v>
      </c>
      <c r="F87">
        <v>1</v>
      </c>
      <c r="G87">
        <v>4.5</v>
      </c>
      <c r="K87" t="s">
        <v>17</v>
      </c>
      <c r="L87" t="s">
        <v>18</v>
      </c>
      <c r="M87" t="s">
        <v>19</v>
      </c>
      <c r="N87" t="s">
        <v>20</v>
      </c>
    </row>
    <row r="88" spans="1:14" ht="13.15" x14ac:dyDescent="0.4">
      <c r="A88">
        <v>200</v>
      </c>
      <c r="B88">
        <v>1</v>
      </c>
      <c r="C88">
        <v>3.5</v>
      </c>
      <c r="E88">
        <v>100</v>
      </c>
      <c r="F88">
        <v>1</v>
      </c>
      <c r="G88">
        <v>4.4000000000000004</v>
      </c>
      <c r="J88" s="1" t="s">
        <v>104</v>
      </c>
      <c r="K88" s="3">
        <f>IF('Optional AP MLP'!B25="",DATA!K92,'Optional AP MLP'!B25)</f>
        <v>46203</v>
      </c>
      <c r="L88" s="3">
        <f>IF('Optional AP MLP'!C25="",DATA!L92,'Optional AP MLP'!C25)</f>
        <v>46203</v>
      </c>
      <c r="M88" s="3">
        <f>IF('Optional AP MLP'!D25="",DATA!M92,'Optional AP MLP'!D25)</f>
        <v>46203</v>
      </c>
      <c r="N88" s="3">
        <f>IF('Optional AP MLP'!E25="",DATA!N92,'Optional AP MLP'!E25)</f>
        <v>46203</v>
      </c>
    </row>
    <row r="89" spans="1:14" ht="13.15" x14ac:dyDescent="0.4">
      <c r="E89">
        <v>200</v>
      </c>
      <c r="F89">
        <v>1</v>
      </c>
      <c r="G89">
        <v>4.4000000000000004</v>
      </c>
      <c r="J89" s="1" t="s">
        <v>5</v>
      </c>
      <c r="K89" s="5">
        <f>(K88-'Optional AP MLP'!B22)+1</f>
        <v>365</v>
      </c>
      <c r="L89" s="5">
        <f>(L88-'Optional AP MLP'!C22)+1</f>
        <v>365</v>
      </c>
      <c r="M89" s="5">
        <f>(M88-'Optional AP MLP'!D22)+1</f>
        <v>365</v>
      </c>
      <c r="N89" s="5">
        <f>(N88-'Optional AP MLP'!E22)+1</f>
        <v>365</v>
      </c>
    </row>
    <row r="90" spans="1:14" ht="13.15" x14ac:dyDescent="0.4">
      <c r="J90" s="1" t="s">
        <v>6</v>
      </c>
      <c r="K90">
        <f t="shared" ref="K90:N90" si="8">K92-K91+1</f>
        <v>365</v>
      </c>
      <c r="L90">
        <f t="shared" si="8"/>
        <v>365</v>
      </c>
      <c r="M90">
        <f t="shared" si="8"/>
        <v>365</v>
      </c>
      <c r="N90">
        <f t="shared" si="8"/>
        <v>365</v>
      </c>
    </row>
    <row r="91" spans="1:14" ht="13.15" x14ac:dyDescent="0.4">
      <c r="J91" s="1" t="s">
        <v>7</v>
      </c>
      <c r="K91" s="3">
        <f>DATE(IF(MONTH('Optional AP MLP'!B22)&gt;6,YEAR('Optional AP MLP'!B22),YEAR('Optional AP MLP'!B22)-1),7,1)</f>
        <v>45839</v>
      </c>
      <c r="L91" s="3">
        <f>DATE(IF(MONTH('Optional AP MLP'!C22)&gt;6,YEAR('Optional AP MLP'!C22),YEAR('Optional AP MLP'!C22)-1),7,1)</f>
        <v>45839</v>
      </c>
      <c r="M91" s="3">
        <f>DATE(IF(MONTH('Optional AP MLP'!D22)&gt;6,YEAR('Optional AP MLP'!D22),YEAR('Optional AP MLP'!D22)-1),7,1)</f>
        <v>45839</v>
      </c>
      <c r="N91" s="3">
        <f>DATE(IF(MONTH('Optional AP MLP'!E22)&gt;6,YEAR('Optional AP MLP'!E22),YEAR('Optional AP MLP'!E22)-1),7,1)</f>
        <v>45839</v>
      </c>
    </row>
    <row r="92" spans="1:14" ht="13.15" x14ac:dyDescent="0.4">
      <c r="J92" s="1" t="s">
        <v>8</v>
      </c>
      <c r="K92" s="3">
        <f>DATE(IF(MONTH('Optional AP MLP'!B22)&gt;6,YEAR('Optional AP MLP'!B22)+1,YEAR('Optional AP MLP'!B22)),6,30)</f>
        <v>46203</v>
      </c>
      <c r="L92" s="3">
        <f>DATE(IF(MONTH('Optional AP MLP'!C22)&gt;6,YEAR('Optional AP MLP'!C22)+1,YEAR('Optional AP MLP'!C22)),6,30)</f>
        <v>46203</v>
      </c>
      <c r="M92" s="3">
        <f>DATE(IF(MONTH('Optional AP MLP'!D22)&gt;6,YEAR('Optional AP MLP'!D22)+1,YEAR('Optional AP MLP'!D22)),6,30)</f>
        <v>46203</v>
      </c>
      <c r="N92" s="3">
        <f>DATE(IF(MONTH('Optional AP MLP'!E22)&gt;6,YEAR('Optional AP MLP'!E22)+1,YEAR('Optional AP MLP'!E22)),6,30)</f>
        <v>46203</v>
      </c>
    </row>
    <row r="93" spans="1:14" ht="13.15" x14ac:dyDescent="0.4">
      <c r="J93" s="1" t="s">
        <v>105</v>
      </c>
      <c r="K93">
        <f>IF('Optional AP MLP'!B21&lt;&gt;"",INT(YEAR('Optional AP MLP'!B22)-YEAR('Optional AP MLP'!B21)+(MONTH('Optional AP MLP'!B22)-MONTH('Optional AP MLP'!B21))/12+(DAY('Optional AP MLP'!B22)-DAY('Optional AP MLP'!B21))/365),0)</f>
        <v>0</v>
      </c>
      <c r="L93">
        <f>IF('Optional AP MLP'!C21&lt;&gt;"",INT(YEAR('Optional AP MLP'!C22)-YEAR('Optional AP MLP'!C21)+(MONTH('Optional AP MLP'!C22)-MONTH('Optional AP MLP'!C21))/12+(DAY('Optional AP MLP'!C22)-DAY('Optional AP MLP'!C21))/365),0)</f>
        <v>0</v>
      </c>
      <c r="M93">
        <f>IF('Optional AP MLP'!D21&lt;&gt;"",INT(YEAR('Optional AP MLP'!D22)-YEAR('Optional AP MLP'!D21)+(MONTH('Optional AP MLP'!D22)-MONTH('Optional AP MLP'!D21))/12+(DAY('Optional AP MLP'!D22)-DAY('Optional AP MLP'!D21))/365),0)</f>
        <v>0</v>
      </c>
      <c r="N93">
        <f>IF('Optional AP MLP'!E21&lt;&gt;"",INT(YEAR('Optional AP MLP'!E22)-YEAR('Optional AP MLP'!E21)+(MONTH('Optional AP MLP'!E22)-MONTH('Optional AP MLP'!E21))/12+(DAY('Optional AP MLP'!E22)-DAY('Optional AP MLP'!E21))/365),0)</f>
        <v>0</v>
      </c>
    </row>
    <row r="94" spans="1:14" ht="13.15" x14ac:dyDescent="0.4">
      <c r="J94" s="1" t="s">
        <v>99</v>
      </c>
      <c r="K94">
        <f>IF('Optional AP MLP'!B23&lt;&gt;"",'Optional AP MLP'!B23,0)</f>
        <v>0</v>
      </c>
      <c r="L94">
        <f>IF('Optional AP MLP'!C23&lt;&gt;"",'Optional AP MLP'!C23,0)</f>
        <v>0</v>
      </c>
      <c r="M94">
        <f>IF('Optional AP MLP'!D23&lt;&gt;"",'Optional AP MLP'!D23,0)</f>
        <v>0</v>
      </c>
      <c r="N94">
        <f>IF('Optional AP MLP'!E23&lt;&gt;"",'Optional AP MLP'!E23,0)</f>
        <v>0</v>
      </c>
    </row>
    <row r="95" spans="1:14" ht="13.15" x14ac:dyDescent="0.4">
      <c r="J95" s="1" t="s">
        <v>143</v>
      </c>
      <c r="K95">
        <f>'Optional AP MLP'!B24</f>
        <v>0</v>
      </c>
      <c r="L95">
        <f>'Optional AP MLP'!C24</f>
        <v>0</v>
      </c>
      <c r="M95">
        <f>'Optional AP MLP'!D24</f>
        <v>0</v>
      </c>
      <c r="N95">
        <f>'Optional AP MLP'!E24</f>
        <v>0</v>
      </c>
    </row>
    <row r="96" spans="1:14" ht="13.15" x14ac:dyDescent="0.4">
      <c r="J96" s="1" t="s">
        <v>136</v>
      </c>
      <c r="K96">
        <f>IF(K95&gt;0,VLOOKUP(K95,DATA!$P$7:$Q$51,2,FALSE),1)</f>
        <v>1</v>
      </c>
      <c r="L96">
        <f>IF(L95&gt;0,VLOOKUP(L95,DATA!$P$7:$Q$51,2,FALSE),1)</f>
        <v>1</v>
      </c>
      <c r="M96">
        <f>IF(M95&gt;0,VLOOKUP(M95,DATA!$P$7:$Q$51,2,FALSE),1)</f>
        <v>1</v>
      </c>
      <c r="N96">
        <f>IF(N95&gt;0,VLOOKUP(N95,DATA!$P$7:$Q$51,2,FALSE),1)</f>
        <v>1</v>
      </c>
    </row>
    <row r="97" spans="10:14" ht="13.15" x14ac:dyDescent="0.4">
      <c r="J97" s="1" t="s">
        <v>137</v>
      </c>
      <c r="K97">
        <f>IF(K89&gt;30,IF(K94&gt;0,ROUND(K94/K96*0.9*K89/K90/10,0)*10,0),0)</f>
        <v>0</v>
      </c>
      <c r="L97">
        <f t="shared" ref="L97:N97" si="9">IF(L89&gt;30,IF(L94&gt;0,ROUND(L94/L96*0.9*L89/L90/10,0)*10,0),0)</f>
        <v>0</v>
      </c>
      <c r="M97">
        <f t="shared" si="9"/>
        <v>0</v>
      </c>
      <c r="N97">
        <f t="shared" si="9"/>
        <v>0</v>
      </c>
    </row>
    <row r="98" spans="10:14" ht="13.15" x14ac:dyDescent="0.4">
      <c r="J98" s="1" t="s">
        <v>138</v>
      </c>
      <c r="K98">
        <f t="shared" ref="K98:N98" si="10">IF(K94&gt;0,ROUND(K94/K96*1.1*K89/K90/10,0)*10,0)</f>
        <v>0</v>
      </c>
      <c r="L98">
        <f t="shared" si="10"/>
        <v>0</v>
      </c>
      <c r="M98">
        <f t="shared" si="10"/>
        <v>0</v>
      </c>
      <c r="N98">
        <f t="shared" si="10"/>
        <v>0</v>
      </c>
    </row>
    <row r="100" spans="10:14" ht="13.15" x14ac:dyDescent="0.4">
      <c r="J100" s="1" t="s">
        <v>139</v>
      </c>
      <c r="K100">
        <f>IF(('Optional AP MLP'!B12-K83)&gt;=0,0,IF(('Optional AP MLP'!B12-K83)&gt;-11,1,2))</f>
        <v>0</v>
      </c>
      <c r="L100">
        <f>IF(('Optional AP MLP'!C12-L83)&gt;=0,0,IF(('Optional AP MLP'!C12-L83)&gt;-11,1,2))</f>
        <v>0</v>
      </c>
      <c r="M100">
        <f>IF(('Optional AP MLP'!D12-M83)&gt;=0,0,IF(('Optional AP MLP'!D12-M83)&gt;-11,1,2))</f>
        <v>0</v>
      </c>
      <c r="N100">
        <f>IF(('Optional AP MLP'!E12-N83)&gt;=0,0,IF(('Optional AP MLP'!E12-N83)&gt;-11,1,2))</f>
        <v>0</v>
      </c>
    </row>
    <row r="101" spans="10:14" ht="13.15" x14ac:dyDescent="0.4">
      <c r="J101" s="1" t="s">
        <v>140</v>
      </c>
      <c r="K101">
        <f>IF(('Optional AP MLP'!B26-K97)&gt;=0,0,IF(('Optional AP MLP'!B26-K97)&gt;-11,1,2))</f>
        <v>0</v>
      </c>
      <c r="L101">
        <f>IF(('Optional AP MLP'!C26-L97)&gt;=0,0,IF(('Optional AP MLP'!C26-L97)&gt;-11,1,2))</f>
        <v>0</v>
      </c>
      <c r="M101">
        <f>IF(('Optional AP MLP'!D26-M97)&gt;=0,0,IF(('Optional AP MLP'!D26-M97)&gt;-11,1,2))</f>
        <v>0</v>
      </c>
      <c r="N101">
        <f>IF(('Optional AP MLP'!E26-N97)&gt;=0,0,IF(('Optional AP MLP'!E26-N97)&gt;-11,1,2))</f>
        <v>0</v>
      </c>
    </row>
    <row r="103" spans="10:14" ht="13.15" x14ac:dyDescent="0.4">
      <c r="J103" s="1" t="s">
        <v>141</v>
      </c>
      <c r="K103">
        <f>IF((K84-'Optional AP MLP'!B12)&gt;=0,0,IF((K84-'Optional AP MLP'!B12)&gt;-11,1,2))</f>
        <v>0</v>
      </c>
      <c r="L103">
        <f>IF((L84-'Optional AP MLP'!C12)&gt;=0,0,IF((L84-'Optional AP MLP'!C12)&gt;-11,1,2))</f>
        <v>0</v>
      </c>
      <c r="M103">
        <f>IF((M84-'Optional AP MLP'!D12)&gt;=0,0,IF((M84-'Optional AP MLP'!D12)&gt;-11,1,2))</f>
        <v>0</v>
      </c>
      <c r="N103">
        <f>IF((N84-'Optional AP MLP'!E12)&gt;=0,0,IF((N84-'Optional AP MLP'!E12)&gt;-11,1,2))</f>
        <v>0</v>
      </c>
    </row>
    <row r="104" spans="10:14" ht="13.15" x14ac:dyDescent="0.4">
      <c r="J104" s="1" t="s">
        <v>142</v>
      </c>
      <c r="K104">
        <f>IF((K98-'Optional AP MLP'!B26)&gt;=0,0,IF((K98-'Optional AP MLP'!B26)&gt;-11,1,2))</f>
        <v>0</v>
      </c>
      <c r="L104">
        <f>IF((L98-'Optional AP MLP'!C26)&gt;=0,0,IF((L98-'Optional AP MLP'!C26)&gt;-11,1,2))</f>
        <v>0</v>
      </c>
      <c r="M104">
        <f>IF((M98-'Optional AP MLP'!D26)&gt;=0,0,IF((M98-'Optional AP MLP'!D26)&gt;-11,1,2))</f>
        <v>0</v>
      </c>
      <c r="N104">
        <f>IF((N98-'Optional AP MLP'!E26)&gt;=0,0,IF((N98-'Optional AP MLP'!E26)&gt;-11,1,2))</f>
        <v>0</v>
      </c>
    </row>
    <row r="105" spans="10:14" ht="13.15" x14ac:dyDescent="0.4">
      <c r="J105" s="1"/>
    </row>
    <row r="106" spans="10:14" ht="13.15" x14ac:dyDescent="0.4">
      <c r="J106" s="1" t="s">
        <v>144</v>
      </c>
      <c r="K106" s="23" t="str">
        <f t="shared" ref="K106:N107" si="11">IF((K100+K103)&gt;0,IF((K100+K103)&gt;1,"WARNING",""),"OK")</f>
        <v>OK</v>
      </c>
      <c r="L106" s="23" t="str">
        <f t="shared" si="11"/>
        <v>OK</v>
      </c>
      <c r="M106" s="23" t="str">
        <f t="shared" si="11"/>
        <v>OK</v>
      </c>
      <c r="N106" s="23" t="str">
        <f t="shared" si="11"/>
        <v>OK</v>
      </c>
    </row>
    <row r="107" spans="10:14" ht="13.15" x14ac:dyDescent="0.4">
      <c r="J107" s="1" t="s">
        <v>145</v>
      </c>
      <c r="K107" s="23" t="str">
        <f t="shared" si="11"/>
        <v>OK</v>
      </c>
      <c r="L107" s="23" t="str">
        <f t="shared" si="11"/>
        <v>OK</v>
      </c>
      <c r="M107" s="23" t="str">
        <f t="shared" si="11"/>
        <v>OK</v>
      </c>
      <c r="N107" s="23" t="str">
        <f t="shared" si="11"/>
        <v>OK</v>
      </c>
    </row>
  </sheetData>
  <sheetProtection algorithmName="SHA-512" hashValue="LL7VZUtw1wYVr4x+LEImjSam/G08Ohw76Iucv230bhVqAzFLQQhtPTg7miZsoZczuDoKuiBAsXEGgC17mzRnTg==" saltValue="AB+I+7xa/UYdLIVMK18w1Q==" spinCount="100000" sheet="1" selectLockedCells="1" selectUnlockedCells="1"/>
  <phoneticPr fontId="5" type="noConversion"/>
  <pageMargins left="0.75" right="0.75" top="1" bottom="1" header="0.5" footer="0.5"/>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Fund &amp; Member Details</vt:lpstr>
      <vt:lpstr>Transactions</vt:lpstr>
      <vt:lpstr>Optional ABPs</vt:lpstr>
      <vt:lpstr>Optional AP MLP</vt:lpstr>
      <vt:lpstr>Percentage Calc</vt:lpstr>
      <vt:lpstr>Certificate</vt:lpstr>
      <vt:lpstr>Check</vt:lpstr>
      <vt:lpstr>DATA</vt:lpstr>
      <vt:lpstr>Valid</vt:lpstr>
    </vt:vector>
  </TitlesOfParts>
  <Company>PBA Super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Anderson</dc:creator>
  <cp:lastModifiedBy>Paul Anderson</cp:lastModifiedBy>
  <cp:lastPrinted>2022-05-04T00:22:00Z</cp:lastPrinted>
  <dcterms:created xsi:type="dcterms:W3CDTF">2005-07-08T05:12:40Z</dcterms:created>
  <dcterms:modified xsi:type="dcterms:W3CDTF">2026-06-25T23:22:18Z</dcterms:modified>
</cp:coreProperties>
</file>